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745"/>
  </bookViews>
  <sheets>
    <sheet name="商贸管理系" sheetId="2" r:id="rId1"/>
    <sheet name="检验科学系" sheetId="3" r:id="rId2"/>
    <sheet name="健康管理系" sheetId="4" r:id="rId3"/>
    <sheet name="班级汇总" sheetId="1" r:id="rId4"/>
  </sheets>
  <definedNames>
    <definedName name="_xlnm._FilterDatabase" localSheetId="3" hidden="1">班级汇总!$A$4:$F$42</definedName>
    <definedName name="_xlnm._FilterDatabase" localSheetId="1" hidden="1">检验科学系!$A$4:$O$229</definedName>
    <definedName name="_xlnm._FilterDatabase" localSheetId="0" hidden="1">商贸管理系!$A$63:$N$445</definedName>
    <definedName name="_xlnm.Print_Titles" localSheetId="1">检验科学系!$1:$3</definedName>
    <definedName name="_xlnm.Print_Titles" localSheetId="0">商贸管理系!$1:$3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4"/>
  <c r="J37"/>
  <c r="M36"/>
  <c r="N36" s="1"/>
  <c r="K36"/>
  <c r="N35"/>
  <c r="M35"/>
  <c r="K35"/>
  <c r="M34"/>
  <c r="N34" s="1"/>
  <c r="K34"/>
  <c r="M33"/>
  <c r="N33" s="1"/>
  <c r="K33"/>
  <c r="M32"/>
  <c r="N32" s="1"/>
  <c r="K32"/>
  <c r="M31"/>
  <c r="N31" s="1"/>
  <c r="K31"/>
  <c r="M30"/>
  <c r="N30" s="1"/>
  <c r="K30"/>
  <c r="E30"/>
  <c r="D30"/>
  <c r="N29"/>
  <c r="M29"/>
  <c r="K29"/>
  <c r="E29"/>
  <c r="D29"/>
  <c r="M28"/>
  <c r="N28" s="1"/>
  <c r="K28"/>
  <c r="E28"/>
  <c r="D28"/>
  <c r="M27"/>
  <c r="N27" s="1"/>
  <c r="K27"/>
  <c r="E27"/>
  <c r="D27"/>
  <c r="M26"/>
  <c r="N26" s="1"/>
  <c r="K26"/>
  <c r="E26"/>
  <c r="D26"/>
  <c r="M25"/>
  <c r="N25" s="1"/>
  <c r="K25"/>
  <c r="E25"/>
  <c r="D25"/>
  <c r="M24"/>
  <c r="N24" s="1"/>
  <c r="K24"/>
  <c r="E24"/>
  <c r="D24"/>
  <c r="N23"/>
  <c r="N37" s="1"/>
  <c r="M23"/>
  <c r="M37" s="1"/>
  <c r="K23"/>
  <c r="K37" s="1"/>
  <c r="E23"/>
  <c r="D23"/>
  <c r="L13"/>
  <c r="J13"/>
  <c r="M12"/>
  <c r="N12" s="1"/>
  <c r="K12"/>
  <c r="M11"/>
  <c r="N11" s="1"/>
  <c r="K11"/>
  <c r="E11"/>
  <c r="D11"/>
  <c r="M10"/>
  <c r="N10" s="1"/>
  <c r="K10"/>
  <c r="E10"/>
  <c r="D10"/>
  <c r="M9"/>
  <c r="N9" s="1"/>
  <c r="K9"/>
  <c r="E9"/>
  <c r="D9"/>
  <c r="M8"/>
  <c r="N8" s="1"/>
  <c r="K8"/>
  <c r="E8"/>
  <c r="D8"/>
  <c r="N7"/>
  <c r="M7"/>
  <c r="K7"/>
  <c r="E7"/>
  <c r="D7"/>
  <c r="M6"/>
  <c r="N6" s="1"/>
  <c r="K6"/>
  <c r="E6"/>
  <c r="D6"/>
  <c r="M5"/>
  <c r="M13" s="1"/>
  <c r="K5"/>
  <c r="K13" s="1"/>
  <c r="E5"/>
  <c r="D5"/>
  <c r="N5" l="1"/>
  <c r="N13" s="1"/>
  <c r="L132" i="3"/>
  <c r="J132"/>
  <c r="L113"/>
  <c r="J113"/>
  <c r="L96"/>
  <c r="J96"/>
  <c r="L74"/>
  <c r="J74"/>
  <c r="L54"/>
  <c r="J54"/>
  <c r="L32"/>
  <c r="J32"/>
  <c r="L11"/>
  <c r="J11"/>
  <c r="L169"/>
  <c r="J169"/>
  <c r="L188"/>
  <c r="J188"/>
  <c r="L204"/>
  <c r="J204"/>
  <c r="L230"/>
  <c r="J230"/>
  <c r="L150"/>
  <c r="J150"/>
  <c r="K229" l="1"/>
  <c r="K228"/>
  <c r="K227"/>
  <c r="K226"/>
  <c r="K225"/>
  <c r="K224"/>
  <c r="K203"/>
  <c r="K202"/>
  <c r="K187"/>
  <c r="K186"/>
  <c r="K185"/>
  <c r="K168"/>
  <c r="K167"/>
  <c r="K166"/>
  <c r="K149"/>
  <c r="K148"/>
  <c r="K147"/>
  <c r="K146"/>
  <c r="K131"/>
  <c r="K130"/>
  <c r="K129"/>
  <c r="K128"/>
  <c r="K112"/>
  <c r="K111"/>
  <c r="K95"/>
  <c r="K94"/>
  <c r="K73"/>
  <c r="K72"/>
  <c r="K53"/>
  <c r="K52"/>
  <c r="K31"/>
  <c r="K30"/>
  <c r="K29"/>
  <c r="K10"/>
  <c r="K9"/>
  <c r="K8"/>
  <c r="K223"/>
  <c r="K222"/>
  <c r="K221"/>
  <c r="K220"/>
  <c r="K219"/>
  <c r="K218"/>
  <c r="K217"/>
  <c r="K216"/>
  <c r="K215"/>
  <c r="K201"/>
  <c r="K200"/>
  <c r="K199"/>
  <c r="K184"/>
  <c r="K183"/>
  <c r="K182"/>
  <c r="K181"/>
  <c r="K165"/>
  <c r="K164"/>
  <c r="K163"/>
  <c r="K162"/>
  <c r="K145"/>
  <c r="K144"/>
  <c r="K127"/>
  <c r="K126"/>
  <c r="K110"/>
  <c r="K109"/>
  <c r="K108"/>
  <c r="K93"/>
  <c r="K92"/>
  <c r="K91"/>
  <c r="K90"/>
  <c r="K89"/>
  <c r="K88"/>
  <c r="K71"/>
  <c r="K70"/>
  <c r="K69"/>
  <c r="K68"/>
  <c r="K67"/>
  <c r="K66"/>
  <c r="K51"/>
  <c r="K50"/>
  <c r="K49"/>
  <c r="K48"/>
  <c r="K47"/>
  <c r="K46"/>
  <c r="K28"/>
  <c r="K27"/>
  <c r="K26"/>
  <c r="K7"/>
  <c r="K6"/>
  <c r="K5"/>
  <c r="M229"/>
  <c r="N229" s="1"/>
  <c r="M228"/>
  <c r="N228" s="1"/>
  <c r="M227"/>
  <c r="N227" s="1"/>
  <c r="M226"/>
  <c r="N226" s="1"/>
  <c r="M225"/>
  <c r="N225" s="1"/>
  <c r="M224"/>
  <c r="N224" s="1"/>
  <c r="M223"/>
  <c r="N223" s="1"/>
  <c r="E223"/>
  <c r="D223"/>
  <c r="M222"/>
  <c r="N222" s="1"/>
  <c r="E222"/>
  <c r="D222"/>
  <c r="M221"/>
  <c r="N221" s="1"/>
  <c r="E221"/>
  <c r="D221"/>
  <c r="M220"/>
  <c r="N220" s="1"/>
  <c r="E220"/>
  <c r="D220"/>
  <c r="M219"/>
  <c r="N219" s="1"/>
  <c r="E219"/>
  <c r="D219"/>
  <c r="M218"/>
  <c r="N218" s="1"/>
  <c r="E218"/>
  <c r="D218"/>
  <c r="M217"/>
  <c r="N217" s="1"/>
  <c r="E217"/>
  <c r="D217"/>
  <c r="M216"/>
  <c r="N216" s="1"/>
  <c r="E216"/>
  <c r="D216"/>
  <c r="M215"/>
  <c r="E215"/>
  <c r="D215"/>
  <c r="M203"/>
  <c r="N203" s="1"/>
  <c r="M202"/>
  <c r="N202" s="1"/>
  <c r="M201"/>
  <c r="N201" s="1"/>
  <c r="E201"/>
  <c r="D201"/>
  <c r="M200"/>
  <c r="N200" s="1"/>
  <c r="E200"/>
  <c r="D200"/>
  <c r="M199"/>
  <c r="E199"/>
  <c r="D199"/>
  <c r="M187"/>
  <c r="N187" s="1"/>
  <c r="M186"/>
  <c r="N186" s="1"/>
  <c r="M185"/>
  <c r="N185" s="1"/>
  <c r="M184"/>
  <c r="N184" s="1"/>
  <c r="E184"/>
  <c r="D184"/>
  <c r="M183"/>
  <c r="N183" s="1"/>
  <c r="E183"/>
  <c r="D183"/>
  <c r="M182"/>
  <c r="N182" s="1"/>
  <c r="E182"/>
  <c r="D182"/>
  <c r="M181"/>
  <c r="E181"/>
  <c r="D181"/>
  <c r="M168"/>
  <c r="N168" s="1"/>
  <c r="M167"/>
  <c r="N167" s="1"/>
  <c r="M166"/>
  <c r="N166" s="1"/>
  <c r="M165"/>
  <c r="N165" s="1"/>
  <c r="E165"/>
  <c r="D165"/>
  <c r="M164"/>
  <c r="N164" s="1"/>
  <c r="E164"/>
  <c r="D164"/>
  <c r="M163"/>
  <c r="N163" s="1"/>
  <c r="E163"/>
  <c r="D163"/>
  <c r="M162"/>
  <c r="E162"/>
  <c r="D162"/>
  <c r="M149"/>
  <c r="N149" s="1"/>
  <c r="M148"/>
  <c r="N148" s="1"/>
  <c r="M147"/>
  <c r="N147" s="1"/>
  <c r="M146"/>
  <c r="N146" s="1"/>
  <c r="M145"/>
  <c r="N145" s="1"/>
  <c r="E145"/>
  <c r="D145"/>
  <c r="M144"/>
  <c r="E144"/>
  <c r="D144"/>
  <c r="M131"/>
  <c r="N131" s="1"/>
  <c r="M130"/>
  <c r="N130" s="1"/>
  <c r="M129"/>
  <c r="N129" s="1"/>
  <c r="M128"/>
  <c r="N128" s="1"/>
  <c r="M127"/>
  <c r="N127" s="1"/>
  <c r="E127"/>
  <c r="D127"/>
  <c r="M126"/>
  <c r="E126"/>
  <c r="D126"/>
  <c r="M112"/>
  <c r="N112" s="1"/>
  <c r="M111"/>
  <c r="N111" s="1"/>
  <c r="M110"/>
  <c r="N110" s="1"/>
  <c r="E110"/>
  <c r="D110"/>
  <c r="M109"/>
  <c r="N109" s="1"/>
  <c r="E109"/>
  <c r="D109"/>
  <c r="M108"/>
  <c r="E108"/>
  <c r="D108"/>
  <c r="M95"/>
  <c r="N95" s="1"/>
  <c r="M94"/>
  <c r="N94" s="1"/>
  <c r="M93"/>
  <c r="N93" s="1"/>
  <c r="E93"/>
  <c r="D93"/>
  <c r="M92"/>
  <c r="N92" s="1"/>
  <c r="E92"/>
  <c r="D92"/>
  <c r="M91"/>
  <c r="N91" s="1"/>
  <c r="E91"/>
  <c r="D91"/>
  <c r="M90"/>
  <c r="N90" s="1"/>
  <c r="E90"/>
  <c r="D90"/>
  <c r="M89"/>
  <c r="N89" s="1"/>
  <c r="E89"/>
  <c r="D89"/>
  <c r="M88"/>
  <c r="E88"/>
  <c r="D88"/>
  <c r="M73"/>
  <c r="N73" s="1"/>
  <c r="M72"/>
  <c r="N72" s="1"/>
  <c r="M71"/>
  <c r="N71" s="1"/>
  <c r="E71"/>
  <c r="D71"/>
  <c r="M70"/>
  <c r="N70" s="1"/>
  <c r="E70"/>
  <c r="D70"/>
  <c r="M69"/>
  <c r="N69" s="1"/>
  <c r="E69"/>
  <c r="D69"/>
  <c r="M68"/>
  <c r="N68" s="1"/>
  <c r="E68"/>
  <c r="D68"/>
  <c r="M67"/>
  <c r="N67" s="1"/>
  <c r="E67"/>
  <c r="D67"/>
  <c r="M66"/>
  <c r="E66"/>
  <c r="D66"/>
  <c r="M53"/>
  <c r="N53" s="1"/>
  <c r="M52"/>
  <c r="N52" s="1"/>
  <c r="M51"/>
  <c r="N51" s="1"/>
  <c r="E51"/>
  <c r="D51"/>
  <c r="M50"/>
  <c r="N50" s="1"/>
  <c r="E50"/>
  <c r="D50"/>
  <c r="M49"/>
  <c r="N49" s="1"/>
  <c r="E49"/>
  <c r="D49"/>
  <c r="M48"/>
  <c r="N48" s="1"/>
  <c r="E48"/>
  <c r="D48"/>
  <c r="M47"/>
  <c r="N47" s="1"/>
  <c r="E47"/>
  <c r="D47"/>
  <c r="M46"/>
  <c r="E46"/>
  <c r="D46"/>
  <c r="M31"/>
  <c r="N31" s="1"/>
  <c r="M30"/>
  <c r="N30" s="1"/>
  <c r="M29"/>
  <c r="N29" s="1"/>
  <c r="M28"/>
  <c r="N28" s="1"/>
  <c r="E28"/>
  <c r="D28"/>
  <c r="M27"/>
  <c r="N27" s="1"/>
  <c r="E27"/>
  <c r="D27"/>
  <c r="M26"/>
  <c r="E26"/>
  <c r="D26"/>
  <c r="M10"/>
  <c r="N10" s="1"/>
  <c r="M9"/>
  <c r="N9" s="1"/>
  <c r="M8"/>
  <c r="N8" s="1"/>
  <c r="M7"/>
  <c r="N7" s="1"/>
  <c r="E7"/>
  <c r="D7"/>
  <c r="M6"/>
  <c r="N6" s="1"/>
  <c r="E6"/>
  <c r="D6"/>
  <c r="M5"/>
  <c r="E5"/>
  <c r="D5"/>
  <c r="K228" i="2"/>
  <c r="K253"/>
  <c r="K279"/>
  <c r="K304"/>
  <c r="K330"/>
  <c r="K358"/>
  <c r="K386"/>
  <c r="K410"/>
  <c r="K434"/>
  <c r="K146"/>
  <c r="K163"/>
  <c r="K179"/>
  <c r="K194"/>
  <c r="K131"/>
  <c r="K121"/>
  <c r="K111"/>
  <c r="K98"/>
  <c r="K83"/>
  <c r="L433"/>
  <c r="M433" s="1"/>
  <c r="L432"/>
  <c r="M432" s="1"/>
  <c r="L431"/>
  <c r="M431" s="1"/>
  <c r="L430"/>
  <c r="M430" s="1"/>
  <c r="L429"/>
  <c r="M429" s="1"/>
  <c r="L428"/>
  <c r="M428" s="1"/>
  <c r="K132" i="3" l="1"/>
  <c r="K230"/>
  <c r="K96"/>
  <c r="N126"/>
  <c r="N132" s="1"/>
  <c r="M132"/>
  <c r="K113"/>
  <c r="N88"/>
  <c r="N96" s="1"/>
  <c r="M96"/>
  <c r="N108"/>
  <c r="N113" s="1"/>
  <c r="M113"/>
  <c r="K32"/>
  <c r="N26"/>
  <c r="N32" s="1"/>
  <c r="M32"/>
  <c r="N46"/>
  <c r="N54" s="1"/>
  <c r="M54"/>
  <c r="N66"/>
  <c r="N74" s="1"/>
  <c r="M74"/>
  <c r="K54"/>
  <c r="K74"/>
  <c r="N5"/>
  <c r="N11" s="1"/>
  <c r="M11"/>
  <c r="N181"/>
  <c r="N188" s="1"/>
  <c r="M188"/>
  <c r="N215"/>
  <c r="N230" s="1"/>
  <c r="M230"/>
  <c r="N144"/>
  <c r="N150" s="1"/>
  <c r="M150"/>
  <c r="N162"/>
  <c r="N169" s="1"/>
  <c r="M169"/>
  <c r="N199"/>
  <c r="N204" s="1"/>
  <c r="M204"/>
  <c r="K11"/>
  <c r="K169"/>
  <c r="K188"/>
  <c r="K204"/>
  <c r="K150"/>
  <c r="K69" i="2" l="1"/>
  <c r="K52" l="1"/>
  <c r="K37"/>
  <c r="K23"/>
  <c r="K9"/>
  <c r="E43" i="1" l="1"/>
  <c r="F43"/>
  <c r="L203" i="2"/>
  <c r="M203" s="1"/>
  <c r="L178"/>
  <c r="M178" s="1"/>
  <c r="L68"/>
  <c r="M68" s="1"/>
  <c r="L51"/>
  <c r="M51" s="1"/>
  <c r="L162"/>
  <c r="L36"/>
  <c r="L22"/>
  <c r="M22" s="1"/>
  <c r="M36"/>
  <c r="M162"/>
  <c r="L130"/>
  <c r="M130" s="1"/>
  <c r="L120"/>
  <c r="M120" s="1"/>
  <c r="L110"/>
  <c r="M110" s="1"/>
  <c r="L97"/>
  <c r="M97" s="1"/>
  <c r="L82"/>
  <c r="M82" s="1"/>
  <c r="L35"/>
  <c r="M35" s="1"/>
  <c r="L21"/>
  <c r="M21" s="1"/>
  <c r="L7"/>
  <c r="L8"/>
  <c r="M8" s="1"/>
  <c r="D43" i="1" l="1"/>
  <c r="L5" i="2" l="1"/>
  <c r="L6"/>
  <c r="L19"/>
  <c r="L20"/>
  <c r="L33"/>
  <c r="L34"/>
  <c r="M34" s="1"/>
  <c r="L47"/>
  <c r="L48"/>
  <c r="L49"/>
  <c r="L50"/>
  <c r="L64"/>
  <c r="L65"/>
  <c r="L66"/>
  <c r="L67"/>
  <c r="L79"/>
  <c r="L80"/>
  <c r="L81"/>
  <c r="L94"/>
  <c r="L95"/>
  <c r="L96"/>
  <c r="L107"/>
  <c r="L108"/>
  <c r="L109"/>
  <c r="L119"/>
  <c r="L121" s="1"/>
  <c r="L129"/>
  <c r="L131" s="1"/>
  <c r="L141"/>
  <c r="L142"/>
  <c r="L143"/>
  <c r="L144"/>
  <c r="L145"/>
  <c r="M145" s="1"/>
  <c r="L156"/>
  <c r="L157"/>
  <c r="L158"/>
  <c r="L159"/>
  <c r="L160"/>
  <c r="L161"/>
  <c r="M161" s="1"/>
  <c r="L173"/>
  <c r="L174"/>
  <c r="L175"/>
  <c r="L176"/>
  <c r="L177"/>
  <c r="M177" s="1"/>
  <c r="L189"/>
  <c r="L190"/>
  <c r="L191"/>
  <c r="L192"/>
  <c r="L193"/>
  <c r="M193" s="1"/>
  <c r="L213"/>
  <c r="L214"/>
  <c r="L215"/>
  <c r="L216"/>
  <c r="L217"/>
  <c r="L218"/>
  <c r="L219"/>
  <c r="L220"/>
  <c r="L221"/>
  <c r="L222"/>
  <c r="M222" s="1"/>
  <c r="L223"/>
  <c r="M223" s="1"/>
  <c r="L224"/>
  <c r="M224" s="1"/>
  <c r="L225"/>
  <c r="M225" s="1"/>
  <c r="L226"/>
  <c r="M226" s="1"/>
  <c r="L227"/>
  <c r="M227" s="1"/>
  <c r="L238"/>
  <c r="L239"/>
  <c r="L240"/>
  <c r="L241"/>
  <c r="L242"/>
  <c r="L243"/>
  <c r="L244"/>
  <c r="L245"/>
  <c r="L246"/>
  <c r="L247"/>
  <c r="M247" s="1"/>
  <c r="L248"/>
  <c r="M248" s="1"/>
  <c r="L249"/>
  <c r="M249" s="1"/>
  <c r="L250"/>
  <c r="M250" s="1"/>
  <c r="L251"/>
  <c r="M251" s="1"/>
  <c r="L252"/>
  <c r="M252" s="1"/>
  <c r="L264"/>
  <c r="L265"/>
  <c r="L266"/>
  <c r="L267"/>
  <c r="L268"/>
  <c r="L269"/>
  <c r="L270"/>
  <c r="L271"/>
  <c r="L272"/>
  <c r="L273"/>
  <c r="M273" s="1"/>
  <c r="L274"/>
  <c r="M274" s="1"/>
  <c r="L275"/>
  <c r="M275" s="1"/>
  <c r="L276"/>
  <c r="M276" s="1"/>
  <c r="L277"/>
  <c r="M277" s="1"/>
  <c r="L278"/>
  <c r="M278" s="1"/>
  <c r="L289"/>
  <c r="L290"/>
  <c r="L291"/>
  <c r="L292"/>
  <c r="L293"/>
  <c r="L294"/>
  <c r="L295"/>
  <c r="L296"/>
  <c r="L297"/>
  <c r="L298"/>
  <c r="M298" s="1"/>
  <c r="L299"/>
  <c r="M299" s="1"/>
  <c r="L300"/>
  <c r="M300" s="1"/>
  <c r="L301"/>
  <c r="M301" s="1"/>
  <c r="L302"/>
  <c r="M302" s="1"/>
  <c r="L303"/>
  <c r="M303" s="1"/>
  <c r="L314"/>
  <c r="L315"/>
  <c r="L316"/>
  <c r="L317"/>
  <c r="L318"/>
  <c r="L319"/>
  <c r="L320"/>
  <c r="L321"/>
  <c r="L322"/>
  <c r="L323"/>
  <c r="M323" s="1"/>
  <c r="L324"/>
  <c r="M324" s="1"/>
  <c r="L325"/>
  <c r="M325" s="1"/>
  <c r="L326"/>
  <c r="M326" s="1"/>
  <c r="L327"/>
  <c r="M327" s="1"/>
  <c r="L328"/>
  <c r="M328" s="1"/>
  <c r="L329"/>
  <c r="M329" s="1"/>
  <c r="L342"/>
  <c r="L343"/>
  <c r="L344"/>
  <c r="L345"/>
  <c r="L346"/>
  <c r="L347"/>
  <c r="L348"/>
  <c r="L349"/>
  <c r="L350"/>
  <c r="L351"/>
  <c r="M351" s="1"/>
  <c r="L352"/>
  <c r="M352" s="1"/>
  <c r="L353"/>
  <c r="M353" s="1"/>
  <c r="L354"/>
  <c r="M354" s="1"/>
  <c r="L355"/>
  <c r="M355" s="1"/>
  <c r="L356"/>
  <c r="M356" s="1"/>
  <c r="L357"/>
  <c r="M357" s="1"/>
  <c r="L370"/>
  <c r="L371"/>
  <c r="L372"/>
  <c r="L373"/>
  <c r="L374"/>
  <c r="L375"/>
  <c r="L376"/>
  <c r="L377"/>
  <c r="L378"/>
  <c r="L379"/>
  <c r="M379" s="1"/>
  <c r="L380"/>
  <c r="M380" s="1"/>
  <c r="L381"/>
  <c r="M381" s="1"/>
  <c r="L382"/>
  <c r="M382" s="1"/>
  <c r="L383"/>
  <c r="M383" s="1"/>
  <c r="L384"/>
  <c r="M384" s="1"/>
  <c r="L385"/>
  <c r="M385" s="1"/>
  <c r="L395"/>
  <c r="L396"/>
  <c r="L397"/>
  <c r="L398"/>
  <c r="L399"/>
  <c r="L400"/>
  <c r="L401"/>
  <c r="L402"/>
  <c r="L403"/>
  <c r="L404"/>
  <c r="M404" s="1"/>
  <c r="L405"/>
  <c r="M405" s="1"/>
  <c r="L406"/>
  <c r="M406" s="1"/>
  <c r="L407"/>
  <c r="M407" s="1"/>
  <c r="L408"/>
  <c r="M408" s="1"/>
  <c r="L409"/>
  <c r="M409" s="1"/>
  <c r="L419"/>
  <c r="L420"/>
  <c r="L421"/>
  <c r="L422"/>
  <c r="L423"/>
  <c r="L424"/>
  <c r="L425"/>
  <c r="L426"/>
  <c r="L427"/>
  <c r="L330" l="1"/>
  <c r="L279"/>
  <c r="L228"/>
  <c r="L179"/>
  <c r="L163"/>
  <c r="L111"/>
  <c r="L83"/>
  <c r="L304"/>
  <c r="L253"/>
  <c r="L194"/>
  <c r="L146"/>
  <c r="L98"/>
  <c r="L434"/>
  <c r="L358"/>
  <c r="L410"/>
  <c r="L386"/>
  <c r="L69"/>
  <c r="L52"/>
  <c r="L37"/>
  <c r="L23"/>
  <c r="L9"/>
  <c r="M426"/>
  <c r="M424"/>
  <c r="M422"/>
  <c r="M420"/>
  <c r="M403"/>
  <c r="M401"/>
  <c r="M399"/>
  <c r="M397"/>
  <c r="M395"/>
  <c r="M378"/>
  <c r="M376"/>
  <c r="M374"/>
  <c r="M372"/>
  <c r="M370"/>
  <c r="M350"/>
  <c r="M348"/>
  <c r="M346"/>
  <c r="M344"/>
  <c r="M342"/>
  <c r="M322"/>
  <c r="M320"/>
  <c r="M318"/>
  <c r="M316"/>
  <c r="M314"/>
  <c r="M296"/>
  <c r="M294"/>
  <c r="M292"/>
  <c r="M290"/>
  <c r="M272"/>
  <c r="M270"/>
  <c r="M268"/>
  <c r="M266"/>
  <c r="M264"/>
  <c r="M245"/>
  <c r="M243"/>
  <c r="M241"/>
  <c r="M239"/>
  <c r="M221"/>
  <c r="M219"/>
  <c r="M217"/>
  <c r="M215"/>
  <c r="M213"/>
  <c r="M192"/>
  <c r="M190"/>
  <c r="M175"/>
  <c r="M173"/>
  <c r="M160"/>
  <c r="M158"/>
  <c r="M156"/>
  <c r="M144"/>
  <c r="M142"/>
  <c r="M129"/>
  <c r="M131" s="1"/>
  <c r="M109"/>
  <c r="M108"/>
  <c r="M96"/>
  <c r="M94"/>
  <c r="M81"/>
  <c r="M80"/>
  <c r="M67"/>
  <c r="M65"/>
  <c r="M50"/>
  <c r="M48"/>
  <c r="M20"/>
  <c r="M7"/>
  <c r="M6"/>
  <c r="M427"/>
  <c r="M425"/>
  <c r="M423"/>
  <c r="M421"/>
  <c r="M419"/>
  <c r="M402"/>
  <c r="M400"/>
  <c r="M398"/>
  <c r="M396"/>
  <c r="M377"/>
  <c r="M375"/>
  <c r="M373"/>
  <c r="M371"/>
  <c r="M349"/>
  <c r="M347"/>
  <c r="M345"/>
  <c r="M343"/>
  <c r="M321"/>
  <c r="M319"/>
  <c r="M317"/>
  <c r="M315"/>
  <c r="M297"/>
  <c r="M295"/>
  <c r="M293"/>
  <c r="M291"/>
  <c r="M289"/>
  <c r="M271"/>
  <c r="M269"/>
  <c r="M267"/>
  <c r="M265"/>
  <c r="M246"/>
  <c r="M244"/>
  <c r="M242"/>
  <c r="M240"/>
  <c r="M238"/>
  <c r="M220"/>
  <c r="M218"/>
  <c r="M216"/>
  <c r="M214"/>
  <c r="M191"/>
  <c r="M189"/>
  <c r="M176"/>
  <c r="M174"/>
  <c r="M159"/>
  <c r="M157"/>
  <c r="M143"/>
  <c r="M141"/>
  <c r="M119"/>
  <c r="M121" s="1"/>
  <c r="M107"/>
  <c r="M95"/>
  <c r="M79"/>
  <c r="M66"/>
  <c r="M64"/>
  <c r="M49"/>
  <c r="M47"/>
  <c r="M33"/>
  <c r="M37" s="1"/>
  <c r="M19"/>
  <c r="M5"/>
  <c r="M23" l="1"/>
  <c r="M83"/>
  <c r="M111"/>
  <c r="M146"/>
  <c r="M194"/>
  <c r="M253"/>
  <c r="M434"/>
  <c r="M98"/>
  <c r="M179"/>
  <c r="M228"/>
  <c r="M330"/>
  <c r="M304"/>
  <c r="M163"/>
  <c r="M279"/>
  <c r="M358"/>
  <c r="M386"/>
  <c r="M410"/>
  <c r="M69"/>
  <c r="M52"/>
  <c r="M9"/>
  <c r="E427" l="1"/>
  <c r="D427"/>
  <c r="E403"/>
  <c r="D403"/>
  <c r="E129"/>
  <c r="D129"/>
  <c r="E119"/>
  <c r="D119"/>
  <c r="E160"/>
  <c r="D160"/>
  <c r="E426"/>
  <c r="D426"/>
  <c r="E425"/>
  <c r="D425"/>
  <c r="E424"/>
  <c r="D424"/>
  <c r="E423"/>
  <c r="D423"/>
  <c r="E422"/>
  <c r="D422"/>
  <c r="E421"/>
  <c r="D421"/>
  <c r="E420"/>
  <c r="D420"/>
  <c r="E402"/>
  <c r="D402"/>
  <c r="E401"/>
  <c r="D401"/>
  <c r="E400"/>
  <c r="D400"/>
  <c r="E399"/>
  <c r="D399"/>
  <c r="E398"/>
  <c r="D398"/>
  <c r="E397"/>
  <c r="D397"/>
  <c r="E396"/>
  <c r="D396"/>
  <c r="E378"/>
  <c r="D378"/>
  <c r="E377"/>
  <c r="D377"/>
  <c r="E376"/>
  <c r="D376"/>
  <c r="E375"/>
  <c r="D375"/>
  <c r="E374"/>
  <c r="D374"/>
  <c r="E373"/>
  <c r="D373"/>
  <c r="E372"/>
  <c r="D372"/>
  <c r="E371"/>
  <c r="D371"/>
  <c r="E350"/>
  <c r="D350"/>
  <c r="E349"/>
  <c r="D349"/>
  <c r="E348"/>
  <c r="D348"/>
  <c r="E347"/>
  <c r="D347"/>
  <c r="E346"/>
  <c r="D346"/>
  <c r="E345"/>
  <c r="D345"/>
  <c r="E344"/>
  <c r="D344"/>
  <c r="E343"/>
  <c r="D343"/>
  <c r="E322"/>
  <c r="D322"/>
  <c r="E321"/>
  <c r="D321"/>
  <c r="E320"/>
  <c r="D320"/>
  <c r="E319"/>
  <c r="D319"/>
  <c r="E318"/>
  <c r="D318"/>
  <c r="E317"/>
  <c r="D317"/>
  <c r="E316"/>
  <c r="D316"/>
  <c r="E315"/>
  <c r="D315"/>
  <c r="E297"/>
  <c r="D297"/>
  <c r="E296"/>
  <c r="D296"/>
  <c r="E295"/>
  <c r="D295"/>
  <c r="E294"/>
  <c r="D294"/>
  <c r="E293"/>
  <c r="D293"/>
  <c r="E292"/>
  <c r="D292"/>
  <c r="E291"/>
  <c r="D291"/>
  <c r="E290"/>
  <c r="D290"/>
  <c r="E272"/>
  <c r="D272"/>
  <c r="E271"/>
  <c r="D271"/>
  <c r="E270"/>
  <c r="D270"/>
  <c r="E269"/>
  <c r="D269"/>
  <c r="E268"/>
  <c r="D268"/>
  <c r="E267"/>
  <c r="D267"/>
  <c r="E266"/>
  <c r="D266"/>
  <c r="E265"/>
  <c r="D265"/>
  <c r="E246"/>
  <c r="D246"/>
  <c r="E245"/>
  <c r="D245"/>
  <c r="E244"/>
  <c r="D244"/>
  <c r="E243"/>
  <c r="D243"/>
  <c r="E242"/>
  <c r="D242"/>
  <c r="E241"/>
  <c r="D241"/>
  <c r="E240"/>
  <c r="D240"/>
  <c r="E239"/>
  <c r="D239"/>
  <c r="E221"/>
  <c r="D221"/>
  <c r="E220"/>
  <c r="D220"/>
  <c r="E219"/>
  <c r="D219"/>
  <c r="E218"/>
  <c r="D218"/>
  <c r="E217"/>
  <c r="D217"/>
  <c r="E216"/>
  <c r="D216"/>
  <c r="E215"/>
  <c r="D215"/>
  <c r="E214"/>
  <c r="D214"/>
  <c r="E419" l="1"/>
  <c r="E395"/>
  <c r="E370"/>
  <c r="E342"/>
  <c r="E314"/>
  <c r="E289"/>
  <c r="E264"/>
  <c r="E238"/>
  <c r="D419"/>
  <c r="D395"/>
  <c r="D370"/>
  <c r="D342"/>
  <c r="D314"/>
  <c r="D289"/>
  <c r="D264"/>
  <c r="D238"/>
  <c r="E213"/>
  <c r="D213"/>
  <c r="D5" l="1"/>
  <c r="E5"/>
  <c r="D6"/>
  <c r="E6"/>
  <c r="D19"/>
  <c r="E19"/>
  <c r="D33"/>
  <c r="E33"/>
  <c r="D47"/>
  <c r="E47"/>
  <c r="D48"/>
  <c r="E48"/>
  <c r="D49"/>
  <c r="E49"/>
  <c r="D64"/>
  <c r="E64"/>
  <c r="D65"/>
  <c r="E65"/>
  <c r="D66"/>
  <c r="E66"/>
  <c r="D79"/>
  <c r="E79"/>
  <c r="D80"/>
  <c r="E80"/>
  <c r="D94"/>
  <c r="E94"/>
  <c r="D95"/>
  <c r="E95"/>
  <c r="D107"/>
  <c r="E107"/>
  <c r="D108"/>
  <c r="E108"/>
  <c r="D141"/>
  <c r="E141"/>
  <c r="D142"/>
  <c r="E142"/>
  <c r="D143"/>
  <c r="E143"/>
  <c r="D144"/>
  <c r="E144"/>
  <c r="D156"/>
  <c r="E156"/>
  <c r="D157"/>
  <c r="E157"/>
  <c r="D158"/>
  <c r="E158"/>
  <c r="D159"/>
  <c r="E159"/>
  <c r="D173"/>
  <c r="E173"/>
  <c r="D174"/>
  <c r="E174"/>
  <c r="D175"/>
  <c r="E175"/>
  <c r="D176"/>
  <c r="E176"/>
  <c r="D189"/>
  <c r="E189"/>
  <c r="D190"/>
  <c r="E190"/>
  <c r="D191"/>
  <c r="E191"/>
  <c r="D192"/>
  <c r="E192"/>
  <c r="D20"/>
  <c r="E20"/>
  <c r="D50"/>
  <c r="E50"/>
  <c r="D67"/>
  <c r="E67"/>
  <c r="D7"/>
  <c r="E7"/>
  <c r="D81"/>
  <c r="E81"/>
  <c r="D96"/>
  <c r="E96"/>
  <c r="D109"/>
  <c r="E109"/>
</calcChain>
</file>

<file path=xl/sharedStrings.xml><?xml version="1.0" encoding="utf-8"?>
<sst xmlns="http://schemas.openxmlformats.org/spreadsheetml/2006/main" count="3188" uniqueCount="463">
  <si>
    <t>批发单号</t>
  </si>
  <si>
    <t>编号</t>
    <phoneticPr fontId="1" type="noConversion"/>
  </si>
  <si>
    <t>C1</t>
    <phoneticPr fontId="1" type="noConversion"/>
  </si>
  <si>
    <t>书号</t>
  </si>
  <si>
    <t>书名</t>
  </si>
  <si>
    <t>版别</t>
  </si>
  <si>
    <t>出版年月</t>
  </si>
  <si>
    <t>作者</t>
  </si>
  <si>
    <t>定价</t>
  </si>
  <si>
    <t>折扣%</t>
  </si>
  <si>
    <t>D2</t>
  </si>
  <si>
    <t>D3</t>
  </si>
  <si>
    <t>D4</t>
  </si>
  <si>
    <t>D5</t>
  </si>
  <si>
    <t>F6</t>
  </si>
  <si>
    <t>D6</t>
  </si>
  <si>
    <t>B3</t>
  </si>
  <si>
    <t>E4</t>
  </si>
  <si>
    <t>E6</t>
  </si>
  <si>
    <t>F2</t>
  </si>
  <si>
    <t>13电子商务1班</t>
  </si>
  <si>
    <t>F3</t>
  </si>
  <si>
    <t>13电子商务2班</t>
  </si>
  <si>
    <t>B2</t>
  </si>
  <si>
    <t>C2</t>
  </si>
  <si>
    <t>C3</t>
  </si>
  <si>
    <t>C4</t>
  </si>
  <si>
    <t>E2</t>
  </si>
  <si>
    <t>E3</t>
  </si>
  <si>
    <t>E5</t>
  </si>
  <si>
    <t>F4</t>
  </si>
  <si>
    <t>F5</t>
  </si>
  <si>
    <t>13物流管理1班</t>
  </si>
  <si>
    <t>13物流管理2班</t>
  </si>
  <si>
    <t>13物流管理3班</t>
  </si>
  <si>
    <t>B4</t>
  </si>
  <si>
    <t>B5</t>
  </si>
  <si>
    <t>B6</t>
  </si>
  <si>
    <t>B7</t>
  </si>
  <si>
    <t>B8</t>
  </si>
  <si>
    <t>D7</t>
  </si>
  <si>
    <t>D8</t>
  </si>
  <si>
    <t>D9</t>
  </si>
  <si>
    <t>B1</t>
    <phoneticPr fontId="1" type="noConversion"/>
  </si>
  <si>
    <t>D1</t>
    <phoneticPr fontId="1" type="noConversion"/>
  </si>
  <si>
    <t>13报关</t>
  </si>
  <si>
    <t>13工商管理</t>
  </si>
  <si>
    <t>13市场营销</t>
  </si>
  <si>
    <t>14电子商务1班</t>
  </si>
  <si>
    <t>14工商管理1班</t>
  </si>
  <si>
    <t>14旅游管理1班</t>
  </si>
  <si>
    <t>14物流管理1班</t>
  </si>
  <si>
    <t>15电子商务1班</t>
  </si>
  <si>
    <t>15电子商务2班</t>
  </si>
  <si>
    <t>15工商管理1班</t>
  </si>
  <si>
    <t>15工商管理2班</t>
  </si>
  <si>
    <t>15旅游管理1班</t>
  </si>
  <si>
    <t>15旅游管理2班</t>
  </si>
  <si>
    <t>15旅游管理3班</t>
  </si>
  <si>
    <t>15物流管理1班</t>
  </si>
  <si>
    <t>15物流管理2班</t>
  </si>
  <si>
    <t>13级环境监测与评价1班</t>
  </si>
  <si>
    <t>13级环境监测与评价2班</t>
  </si>
  <si>
    <t>13级食品分析与检验1班</t>
  </si>
  <si>
    <t>13级食品分析与检验2班</t>
  </si>
  <si>
    <t>13级食品营养与检测1班</t>
  </si>
  <si>
    <t>13级药品质量检测技术1班</t>
  </si>
  <si>
    <t>14级环境监测与评价1班</t>
  </si>
  <si>
    <t>14级环境监测与评价2班</t>
  </si>
  <si>
    <t>14级社区康复1班</t>
  </si>
  <si>
    <t>14级食品分析与检验1班</t>
  </si>
  <si>
    <t>14级食品营养与检测1班</t>
  </si>
  <si>
    <t>14级药品质量检测技术1班</t>
  </si>
  <si>
    <t>15级社区康复1班</t>
  </si>
  <si>
    <t>商贸</t>
    <phoneticPr fontId="1" type="noConversion"/>
  </si>
  <si>
    <t>检验</t>
    <phoneticPr fontId="1" type="noConversion"/>
  </si>
  <si>
    <t>系部</t>
    <phoneticPr fontId="1" type="noConversion"/>
  </si>
  <si>
    <t>编号</t>
    <phoneticPr fontId="1" type="noConversion"/>
  </si>
  <si>
    <t>年级专业</t>
    <phoneticPr fontId="1" type="noConversion"/>
  </si>
  <si>
    <t>商贸</t>
    <phoneticPr fontId="1" type="noConversion"/>
  </si>
  <si>
    <t>检验</t>
    <phoneticPr fontId="1" type="noConversion"/>
  </si>
  <si>
    <t>B1</t>
    <phoneticPr fontId="1" type="noConversion"/>
  </si>
  <si>
    <t>商贸</t>
    <phoneticPr fontId="1" type="noConversion"/>
  </si>
  <si>
    <t>检验</t>
    <phoneticPr fontId="1" type="noConversion"/>
  </si>
  <si>
    <t>科学出版社</t>
  </si>
  <si>
    <t>张睿</t>
  </si>
  <si>
    <t>2015.08.01</t>
  </si>
  <si>
    <t>湖南师范大学出版社</t>
  </si>
  <si>
    <t>配送作业管理与信息化</t>
  </si>
  <si>
    <t>丁晓雯</t>
  </si>
  <si>
    <t>2011.07.01</t>
  </si>
  <si>
    <t>中国农业大学出版社</t>
  </si>
  <si>
    <t>食品安全学</t>
  </si>
  <si>
    <t>崔福德</t>
  </si>
  <si>
    <t>2011.08.01</t>
  </si>
  <si>
    <t>人民卫生出版社</t>
  </si>
  <si>
    <t>药剂学 第七版</t>
  </si>
  <si>
    <t>黄军左</t>
  </si>
  <si>
    <t>2013.07.01</t>
  </si>
  <si>
    <t>中国石化出版社</t>
  </si>
  <si>
    <t>文献检索与科技论文写作（第二版）</t>
  </si>
  <si>
    <t>郑坚强</t>
  </si>
  <si>
    <t>2013.01.01</t>
  </si>
  <si>
    <t>中国科学技术出版社(科普社副牌)</t>
  </si>
  <si>
    <t>食品感官评定</t>
  </si>
  <si>
    <t>于田田</t>
  </si>
  <si>
    <t>2010.08.01</t>
  </si>
  <si>
    <t>轻工业出版社</t>
  </si>
  <si>
    <t>食品安全管理体系必备手册——要素·概念·难点·逻辑理解</t>
  </si>
  <si>
    <t>林桦</t>
  </si>
  <si>
    <t>2013.02.01</t>
  </si>
  <si>
    <t>中国医药科技出版社</t>
  </si>
  <si>
    <t>药理学 第二版</t>
  </si>
  <si>
    <t>万仁甫</t>
  </si>
  <si>
    <t>药事管理与法规 第二版</t>
  </si>
  <si>
    <t>刘文娟</t>
  </si>
  <si>
    <t>2008.06.01</t>
  </si>
  <si>
    <t>药物化学(供高职高专使用)</t>
  </si>
  <si>
    <t>阳飞扬</t>
  </si>
  <si>
    <t>2011.10.01</t>
  </si>
  <si>
    <t>中国华侨出版社</t>
  </si>
  <si>
    <t>从零开始学创业大全集（超值白金版）</t>
  </si>
  <si>
    <t>汤高奇（主编）</t>
  </si>
  <si>
    <t>2010.02.01</t>
  </si>
  <si>
    <t>食品添加剂</t>
  </si>
  <si>
    <t>潘宁</t>
  </si>
  <si>
    <t>2010.05.01</t>
  </si>
  <si>
    <t>化学工业出版社</t>
  </si>
  <si>
    <t>食品生物化学(第二版)</t>
  </si>
  <si>
    <t>王莉</t>
  </si>
  <si>
    <t>2010.07.01</t>
  </si>
  <si>
    <t>食品营养学 第2版</t>
  </si>
  <si>
    <t>魏武（主编）</t>
  </si>
  <si>
    <t>2015.04.01</t>
  </si>
  <si>
    <t>诊断学（第7版）</t>
  </si>
  <si>
    <t>章嫁（主编）</t>
  </si>
  <si>
    <t>2014.09.01</t>
  </si>
  <si>
    <t>运动治疗技术（第2版）</t>
  </si>
  <si>
    <t>周建军（主编）</t>
  </si>
  <si>
    <t>2014.07.01</t>
  </si>
  <si>
    <t>临床医学概要（第2版）</t>
  </si>
  <si>
    <t>周春美主编</t>
  </si>
  <si>
    <t>2014.01.01</t>
  </si>
  <si>
    <t>基础护理学 第3版</t>
  </si>
  <si>
    <t>陈健尔（主编）</t>
  </si>
  <si>
    <t>2014.08.01</t>
  </si>
  <si>
    <t>中国传统康复技术（第2版）</t>
  </si>
  <si>
    <t>乔志恒</t>
  </si>
  <si>
    <t>华夏出版社</t>
  </si>
  <si>
    <t>理疗学（第二版）</t>
  </si>
  <si>
    <t>孙广仁主编</t>
  </si>
  <si>
    <t>2007.01.01</t>
  </si>
  <si>
    <t>中国中医药出版社</t>
  </si>
  <si>
    <t>新二版本科规划教材 中医基础理论</t>
  </si>
  <si>
    <t>税永红</t>
  </si>
  <si>
    <t>2009.09.01</t>
  </si>
  <si>
    <t>环境监测技术</t>
  </si>
  <si>
    <t>李倦生</t>
  </si>
  <si>
    <t>2009.08.01</t>
  </si>
  <si>
    <t>武汉理工大学出版社(原武汉工业大学出版社)</t>
  </si>
  <si>
    <t>环境工程基础.第2版</t>
  </si>
  <si>
    <t>F1</t>
    <phoneticPr fontId="1" type="noConversion"/>
  </si>
  <si>
    <t>郑祖华</t>
  </si>
  <si>
    <t>2008.05.01</t>
  </si>
  <si>
    <t>厦门大学出版社</t>
  </si>
  <si>
    <t>高职高专经管类专业基础课教材系列.市场营销学</t>
  </si>
  <si>
    <t>彭珊珊（主编）</t>
  </si>
  <si>
    <t>2012.02.01</t>
  </si>
  <si>
    <t>中国计量出版社</t>
  </si>
  <si>
    <t>食品企业管理</t>
  </si>
  <si>
    <t>刘爱红[主编]</t>
  </si>
  <si>
    <t>2008.09.01</t>
  </si>
  <si>
    <t>食品毒理基础</t>
  </si>
  <si>
    <t>常锋</t>
  </si>
  <si>
    <t>2009.03.01</t>
  </si>
  <si>
    <t>高职高专''十一五''规划教材:功能食品</t>
  </si>
  <si>
    <t>陈建发（主编）</t>
  </si>
  <si>
    <t>2008.11.01</t>
  </si>
  <si>
    <t>大连理工大学出版社</t>
  </si>
  <si>
    <t>环境影响评价案例分析</t>
  </si>
  <si>
    <t>E1</t>
    <phoneticPr fontId="1" type="noConversion"/>
  </si>
  <si>
    <t>张敏（主编）</t>
  </si>
  <si>
    <t>2015.01.01</t>
  </si>
  <si>
    <t>北京理工大学出版社</t>
  </si>
  <si>
    <t>国际货运代理实务（第3版）</t>
  </si>
  <si>
    <t>孙秋高主编</t>
  </si>
  <si>
    <t>2012.09.01</t>
  </si>
  <si>
    <t>电子工业出版社</t>
  </si>
  <si>
    <t>仓储管理实务(第2版)</t>
  </si>
  <si>
    <t>高职高专规划新教材编审委员会</t>
  </si>
  <si>
    <t>2011.01.01</t>
  </si>
  <si>
    <t>武汉大学出版社</t>
  </si>
  <si>
    <t>物流运输管理</t>
  </si>
  <si>
    <t>姜宏</t>
  </si>
  <si>
    <t>2009.01.01</t>
  </si>
  <si>
    <t>机械工业出版社</t>
  </si>
  <si>
    <t>国际贸易单证实训</t>
  </si>
  <si>
    <t>叶鹏</t>
  </si>
  <si>
    <t>清华大学出版社</t>
  </si>
  <si>
    <t>现代酒店经营管理实务</t>
  </si>
  <si>
    <t>李彦志</t>
  </si>
  <si>
    <t>2010.12.01</t>
  </si>
  <si>
    <t>北京工业大学出版社</t>
  </si>
  <si>
    <t>实用社交礼仪</t>
  </si>
  <si>
    <t>梁智编著</t>
  </si>
  <si>
    <t>2014.02.01</t>
  </si>
  <si>
    <t>东北财经大学出版社</t>
  </si>
  <si>
    <t>旅行社运行与管理 第五版</t>
  </si>
  <si>
    <t>王婉飞</t>
  </si>
  <si>
    <t>2009.02.01</t>
  </si>
  <si>
    <t>浙江大学出版社</t>
  </si>
  <si>
    <t>21世纪旅游管理学精品教材.休闲管理</t>
  </si>
  <si>
    <t>许茂伟</t>
  </si>
  <si>
    <t>2014.11.01</t>
  </si>
  <si>
    <t>高等教育出版社</t>
  </si>
  <si>
    <t>网络营销：理论、实务、案例、实训（第二版）</t>
  </si>
  <si>
    <t>于强总主编</t>
  </si>
  <si>
    <t>经济法</t>
  </si>
  <si>
    <t>范学谦</t>
  </si>
  <si>
    <t>2011.06.01</t>
  </si>
  <si>
    <t>南京大学出版社</t>
  </si>
  <si>
    <t>高职高专十二五规划教材.物流管理专业系列.现代物流管理</t>
  </si>
  <si>
    <t>陈鸿雁（主编）</t>
  </si>
  <si>
    <t>北京邮电大学出版社</t>
  </si>
  <si>
    <t>组织行为学（第2版）</t>
  </si>
  <si>
    <t>(美)卡斯特罗</t>
  </si>
  <si>
    <t>2014.05.01</t>
  </si>
  <si>
    <t>人民邮电出版社</t>
  </si>
  <si>
    <t>HTML5与CSS3基础教程 第8版</t>
  </si>
  <si>
    <t>C1</t>
    <phoneticPr fontId="1" type="noConversion"/>
  </si>
  <si>
    <t>江兆银</t>
  </si>
  <si>
    <t>2012.04.01</t>
  </si>
  <si>
    <t>Photoshop平面设计实用教程(项目式)</t>
  </si>
  <si>
    <t>赵轶</t>
  </si>
  <si>
    <t>2012.07.01</t>
  </si>
  <si>
    <t>北京交通大学出版社</t>
  </si>
  <si>
    <t>市场调查与分析（第二版）</t>
  </si>
  <si>
    <t>吴红霞（主编）</t>
  </si>
  <si>
    <t>2012.12.01</t>
  </si>
  <si>
    <t>物流法律法规</t>
  </si>
  <si>
    <t>孔如红、翟士军</t>
  </si>
  <si>
    <t>2012.01.01</t>
  </si>
  <si>
    <t>西南交通大学出版社</t>
  </si>
  <si>
    <t>国际货物运输与保险实务</t>
  </si>
  <si>
    <t>科兰</t>
  </si>
  <si>
    <t>2008.08.01</t>
  </si>
  <si>
    <t>中国人民大学出版社</t>
  </si>
  <si>
    <t>工商管理经典译丛（市场营销系列）.营销渠道[第7版]</t>
  </si>
  <si>
    <t>郑锐洪</t>
  </si>
  <si>
    <t>分销渠道管理（第三版）</t>
  </si>
  <si>
    <t>孙前进</t>
  </si>
  <si>
    <t>2010.09.01</t>
  </si>
  <si>
    <t>中国发展出版社</t>
  </si>
  <si>
    <t>连锁门店开发与选址</t>
  </si>
  <si>
    <t>商贸</t>
    <phoneticPr fontId="1" type="noConversion"/>
  </si>
  <si>
    <t>淘宝大学</t>
  </si>
  <si>
    <t>网店美工实操</t>
  </si>
  <si>
    <t>商贸</t>
    <phoneticPr fontId="1" type="noConversion"/>
  </si>
  <si>
    <t>李朴</t>
  </si>
  <si>
    <t>2012.08.01</t>
  </si>
  <si>
    <t>无机化学实验（第三版）</t>
  </si>
  <si>
    <t>崔宝秋（主编）</t>
  </si>
  <si>
    <t>环境与健康</t>
  </si>
  <si>
    <t>马金锗</t>
  </si>
  <si>
    <t>2007.09.01</t>
  </si>
  <si>
    <t>应用化学基础</t>
  </si>
  <si>
    <t>杨茂有</t>
  </si>
  <si>
    <t>2012.06.01</t>
  </si>
  <si>
    <t>正常人体解剖学</t>
  </si>
  <si>
    <t>王俊华（主编）</t>
  </si>
  <si>
    <t>2010.06.01</t>
  </si>
  <si>
    <t>康复治疗基础（第二版）</t>
  </si>
  <si>
    <t>刘迎华</t>
  </si>
  <si>
    <t>2013.08.01</t>
  </si>
  <si>
    <t>新旅游学概论</t>
  </si>
  <si>
    <t>鲁丹萍</t>
  </si>
  <si>
    <t>国际贸易基础与实务（非国贸专业）</t>
  </si>
  <si>
    <t>潘金龙、任滨</t>
  </si>
  <si>
    <t>教育科学出版社</t>
  </si>
  <si>
    <t>市场营销学</t>
  </si>
  <si>
    <t>黄远水（主编）</t>
  </si>
  <si>
    <t>中国旅游地理</t>
  </si>
  <si>
    <t>张来顺总主编</t>
  </si>
  <si>
    <t>管理学基础</t>
  </si>
  <si>
    <t>年级专业</t>
    <phoneticPr fontId="1" type="noConversion"/>
  </si>
  <si>
    <t>小计</t>
    <phoneticPr fontId="1" type="noConversion"/>
  </si>
  <si>
    <t>G1</t>
    <phoneticPr fontId="1" type="noConversion"/>
  </si>
  <si>
    <t>D1</t>
    <phoneticPr fontId="1" type="noConversion"/>
  </si>
  <si>
    <t>商贸</t>
    <phoneticPr fontId="1" type="noConversion"/>
  </si>
  <si>
    <t>检验</t>
    <phoneticPr fontId="1" type="noConversion"/>
  </si>
  <si>
    <t>15级药品质量检测技术1班</t>
    <phoneticPr fontId="1" type="noConversion"/>
  </si>
  <si>
    <t>食品法律法规与标准（第二版）</t>
  </si>
  <si>
    <t>2015.10.01</t>
  </si>
  <si>
    <t>吴澎（主编）</t>
  </si>
  <si>
    <t>高等学校教材：军事理论与训练教程</t>
  </si>
  <si>
    <t>吴温暖</t>
  </si>
  <si>
    <t>商贸</t>
    <phoneticPr fontId="1" type="noConversion"/>
  </si>
  <si>
    <t>D1</t>
    <phoneticPr fontId="1" type="noConversion"/>
  </si>
  <si>
    <t>15电子商务1班</t>
    <phoneticPr fontId="4" type="noConversion"/>
  </si>
  <si>
    <t>15电子商务1班</t>
    <phoneticPr fontId="4" type="noConversion"/>
  </si>
  <si>
    <t>经济数学基础（第四版）（上册）</t>
  </si>
  <si>
    <t>顾静相（主编）</t>
  </si>
  <si>
    <t>高职高专体育与健康新教程</t>
  </si>
  <si>
    <t>中国书籍出版社</t>
  </si>
  <si>
    <t>2009.06.01</t>
  </si>
  <si>
    <t>方永文</t>
  </si>
  <si>
    <t>计算机应用基础实训教程windows7+office2010</t>
  </si>
  <si>
    <t>南开大学出版社</t>
  </si>
  <si>
    <t>2013.09.01</t>
  </si>
  <si>
    <t>朱凤文（主编）</t>
  </si>
  <si>
    <t>大学生心理健康教育</t>
  </si>
  <si>
    <t xml:space="preserve">上海交通大学出版社 </t>
  </si>
  <si>
    <t>罗晓路 夏翠翠</t>
  </si>
  <si>
    <t>大学生职业指导实训教程 大学生职业指导实训手册（第二版）</t>
  </si>
  <si>
    <t>张艳（主编）</t>
  </si>
  <si>
    <t>商贸</t>
    <phoneticPr fontId="1" type="noConversion"/>
  </si>
  <si>
    <t>计算机应用基础windows7+office2010</t>
  </si>
  <si>
    <t>张赵管（主编）</t>
  </si>
  <si>
    <t>15电子商务2班</t>
    <phoneticPr fontId="4" type="noConversion"/>
  </si>
  <si>
    <t>商贸</t>
    <phoneticPr fontId="1" type="noConversion"/>
  </si>
  <si>
    <t>商贸</t>
    <phoneticPr fontId="1" type="noConversion"/>
  </si>
  <si>
    <t>15工商管理1班</t>
    <phoneticPr fontId="4" type="noConversion"/>
  </si>
  <si>
    <t>15工商管理1班</t>
    <phoneticPr fontId="4" type="noConversion"/>
  </si>
  <si>
    <t>15工商管理1班</t>
    <phoneticPr fontId="4" type="noConversion"/>
  </si>
  <si>
    <t>15旅游管理1班</t>
    <phoneticPr fontId="4" type="noConversion"/>
  </si>
  <si>
    <t>15旅游管理1班</t>
    <phoneticPr fontId="4" type="noConversion"/>
  </si>
  <si>
    <t>15旅游管理1班</t>
    <phoneticPr fontId="4" type="noConversion"/>
  </si>
  <si>
    <t>15旅游管理2班</t>
    <phoneticPr fontId="4" type="noConversion"/>
  </si>
  <si>
    <t>15旅游管理2班</t>
    <phoneticPr fontId="4" type="noConversion"/>
  </si>
  <si>
    <t>15旅游管理3班</t>
    <phoneticPr fontId="4" type="noConversion"/>
  </si>
  <si>
    <t>15旅游管理3班</t>
    <phoneticPr fontId="4" type="noConversion"/>
  </si>
  <si>
    <t>15旅游管理3班</t>
    <phoneticPr fontId="4" type="noConversion"/>
  </si>
  <si>
    <t>15物流管理1班</t>
    <phoneticPr fontId="4" type="noConversion"/>
  </si>
  <si>
    <t>15物流管理1班</t>
    <phoneticPr fontId="4" type="noConversion"/>
  </si>
  <si>
    <t>15物流管理2班</t>
    <phoneticPr fontId="4" type="noConversion"/>
  </si>
  <si>
    <t>15物流管理2班</t>
    <phoneticPr fontId="4" type="noConversion"/>
  </si>
  <si>
    <t>15物流管理2班</t>
    <phoneticPr fontId="4" type="noConversion"/>
  </si>
  <si>
    <t>15级社区康复1班</t>
    <phoneticPr fontId="4" type="noConversion"/>
  </si>
  <si>
    <t>G3</t>
    <phoneticPr fontId="1" type="noConversion"/>
  </si>
  <si>
    <t>15级药品质量检测技术1班</t>
    <phoneticPr fontId="4" type="noConversion"/>
  </si>
  <si>
    <t>D3</t>
    <phoneticPr fontId="1" type="noConversion"/>
  </si>
  <si>
    <t>D3</t>
    <phoneticPr fontId="1" type="noConversion"/>
  </si>
  <si>
    <t>D5</t>
    <phoneticPr fontId="1" type="noConversion"/>
  </si>
  <si>
    <t>D8</t>
    <phoneticPr fontId="1" type="noConversion"/>
  </si>
  <si>
    <t>D8</t>
    <phoneticPr fontId="1" type="noConversion"/>
  </si>
  <si>
    <t>检验</t>
    <phoneticPr fontId="1" type="noConversion"/>
  </si>
  <si>
    <t>15级社区康复1班</t>
    <phoneticPr fontId="4" type="noConversion"/>
  </si>
  <si>
    <t>G3</t>
    <phoneticPr fontId="1" type="noConversion"/>
  </si>
  <si>
    <t>15级药品质量检测技术1班</t>
    <phoneticPr fontId="4" type="noConversion"/>
  </si>
  <si>
    <t>检验</t>
    <phoneticPr fontId="1" type="noConversion"/>
  </si>
  <si>
    <t>G3</t>
    <phoneticPr fontId="1" type="noConversion"/>
  </si>
  <si>
    <t>C2</t>
    <phoneticPr fontId="1" type="noConversion"/>
  </si>
  <si>
    <t>14工商管理1班</t>
    <phoneticPr fontId="1" type="noConversion"/>
  </si>
  <si>
    <t>D3</t>
    <phoneticPr fontId="1" type="noConversion"/>
  </si>
  <si>
    <t>15工商管理1班</t>
    <phoneticPr fontId="1" type="noConversion"/>
  </si>
  <si>
    <t>15工商管理1班</t>
    <phoneticPr fontId="1" type="noConversion"/>
  </si>
  <si>
    <t>出境旅游领队工作培训手册（全四册）</t>
  </si>
  <si>
    <t>中华工商联出版社</t>
  </si>
  <si>
    <t>2013.03.01</t>
  </si>
  <si>
    <t>王新军</t>
  </si>
  <si>
    <t>B9</t>
    <phoneticPr fontId="1" type="noConversion"/>
  </si>
  <si>
    <t>13旅游1班</t>
    <phoneticPr fontId="1" type="noConversion"/>
  </si>
  <si>
    <t>B10</t>
    <phoneticPr fontId="1" type="noConversion"/>
  </si>
  <si>
    <t>13旅游2班</t>
    <phoneticPr fontId="1" type="noConversion"/>
  </si>
  <si>
    <t>D5</t>
    <phoneticPr fontId="1" type="noConversion"/>
  </si>
  <si>
    <t>15旅游管理1班</t>
    <phoneticPr fontId="1" type="noConversion"/>
  </si>
  <si>
    <t>15旅游管理1班</t>
    <phoneticPr fontId="1" type="noConversion"/>
  </si>
  <si>
    <t>F6</t>
    <phoneticPr fontId="1" type="noConversion"/>
  </si>
  <si>
    <t>14级药品质量检测技术1班</t>
    <phoneticPr fontId="1" type="noConversion"/>
  </si>
  <si>
    <t>14级药品质量检测技术1班</t>
    <phoneticPr fontId="1" type="noConversion"/>
  </si>
  <si>
    <t>F6</t>
    <phoneticPr fontId="1" type="noConversion"/>
  </si>
  <si>
    <t>15物流管理1班</t>
    <phoneticPr fontId="1" type="noConversion"/>
  </si>
  <si>
    <t>15电子商务1班</t>
    <phoneticPr fontId="1" type="noConversion"/>
  </si>
  <si>
    <t>15旅游管理3班</t>
    <phoneticPr fontId="1" type="noConversion"/>
  </si>
  <si>
    <t>15级药品质量检测技术1班</t>
    <phoneticPr fontId="1" type="noConversion"/>
  </si>
  <si>
    <t>学院</t>
    <phoneticPr fontId="1" type="noConversion"/>
  </si>
  <si>
    <t>学院</t>
    <phoneticPr fontId="1" type="noConversion"/>
  </si>
  <si>
    <t>学院</t>
    <phoneticPr fontId="1" type="noConversion"/>
  </si>
  <si>
    <t>F1</t>
  </si>
  <si>
    <t>色谱分析与实验</t>
    <phoneticPr fontId="1" type="noConversion"/>
  </si>
  <si>
    <t>光谱分析与实验</t>
    <phoneticPr fontId="1" type="noConversion"/>
  </si>
  <si>
    <t>环境监测基础实验</t>
    <phoneticPr fontId="1" type="noConversion"/>
  </si>
  <si>
    <t>自编</t>
    <phoneticPr fontId="1" type="noConversion"/>
  </si>
  <si>
    <t>形势与政策（共四期）</t>
  </si>
  <si>
    <t>思想道德修养与法律基础（2015年修订版）</t>
  </si>
  <si>
    <t>2015商贸系人才培养方案</t>
  </si>
  <si>
    <t>作业纸</t>
  </si>
  <si>
    <t>高职学分制管理手册</t>
  </si>
  <si>
    <t>学分护照（课外素质拓展）专科</t>
  </si>
  <si>
    <t>厦门大学出版社</t>
    <phoneticPr fontId="1" type="noConversion"/>
  </si>
  <si>
    <t>高等教育出版社</t>
    <phoneticPr fontId="1" type="noConversion"/>
  </si>
  <si>
    <t>旅游管理学生专业实践手册</t>
  </si>
  <si>
    <t>2015健康管理系人才培养方案</t>
  </si>
  <si>
    <t>实领</t>
  </si>
  <si>
    <t>码洋</t>
    <phoneticPr fontId="1" type="noConversion"/>
  </si>
  <si>
    <t>实洋</t>
    <phoneticPr fontId="1" type="noConversion"/>
  </si>
  <si>
    <t>码洋100%</t>
    <phoneticPr fontId="4" type="noConversion"/>
  </si>
  <si>
    <t>实洋80%</t>
    <phoneticPr fontId="4" type="noConversion"/>
  </si>
  <si>
    <t>册数</t>
    <phoneticPr fontId="1" type="noConversion"/>
  </si>
  <si>
    <t>商贸</t>
    <phoneticPr fontId="1" type="noConversion"/>
  </si>
  <si>
    <t>B1</t>
    <phoneticPr fontId="1" type="noConversion"/>
  </si>
  <si>
    <t>B9</t>
    <phoneticPr fontId="1" type="noConversion"/>
  </si>
  <si>
    <t>B10</t>
    <phoneticPr fontId="1" type="noConversion"/>
  </si>
  <si>
    <t>13旅游2班</t>
    <phoneticPr fontId="1" type="noConversion"/>
  </si>
  <si>
    <t>C1</t>
    <phoneticPr fontId="1" type="noConversion"/>
  </si>
  <si>
    <t>D1</t>
    <phoneticPr fontId="1" type="noConversion"/>
  </si>
  <si>
    <t>15电子商务2班</t>
    <phoneticPr fontId="1" type="noConversion"/>
  </si>
  <si>
    <t>15工商管理1班</t>
    <phoneticPr fontId="1" type="noConversion"/>
  </si>
  <si>
    <t>15工商管理2班</t>
    <phoneticPr fontId="1" type="noConversion"/>
  </si>
  <si>
    <t>15旅游管理1班</t>
    <phoneticPr fontId="1" type="noConversion"/>
  </si>
  <si>
    <t>15旅游管理2班</t>
    <phoneticPr fontId="1" type="noConversion"/>
  </si>
  <si>
    <t>15物流管理1班</t>
    <phoneticPr fontId="1" type="noConversion"/>
  </si>
  <si>
    <t>15物流管理2班</t>
    <phoneticPr fontId="1" type="noConversion"/>
  </si>
  <si>
    <t>检验</t>
    <phoneticPr fontId="1" type="noConversion"/>
  </si>
  <si>
    <t>E1</t>
    <phoneticPr fontId="1" type="noConversion"/>
  </si>
  <si>
    <t>F1</t>
    <phoneticPr fontId="1" type="noConversion"/>
  </si>
  <si>
    <t>G1</t>
    <phoneticPr fontId="1" type="noConversion"/>
  </si>
  <si>
    <t>15级社区康复1班</t>
    <phoneticPr fontId="1" type="noConversion"/>
  </si>
  <si>
    <t>G3</t>
    <phoneticPr fontId="1" type="noConversion"/>
  </si>
  <si>
    <t>合计</t>
    <phoneticPr fontId="1" type="noConversion"/>
  </si>
  <si>
    <t>学院</t>
    <phoneticPr fontId="1" type="noConversion"/>
  </si>
  <si>
    <t>学院</t>
    <phoneticPr fontId="1" type="noConversion"/>
  </si>
  <si>
    <t>流通行业职业能力拓展项目实训</t>
    <phoneticPr fontId="1" type="noConversion"/>
  </si>
  <si>
    <t>网络商品描述设计方案</t>
    <phoneticPr fontId="1" type="noConversion"/>
  </si>
  <si>
    <t>网络商品描述设计方案</t>
    <phoneticPr fontId="1" type="noConversion"/>
  </si>
  <si>
    <t>旅游线路设计实训</t>
    <phoneticPr fontId="1" type="noConversion"/>
  </si>
  <si>
    <t>创业计划实训</t>
    <phoneticPr fontId="1" type="noConversion"/>
  </si>
  <si>
    <t>创立企业模拟实训</t>
    <phoneticPr fontId="1" type="noConversion"/>
  </si>
  <si>
    <t>新品牌的创建与推广</t>
    <phoneticPr fontId="1" type="noConversion"/>
  </si>
  <si>
    <t>酒店工学交替项目实训</t>
    <phoneticPr fontId="1" type="noConversion"/>
  </si>
  <si>
    <t>14港口运输</t>
    <phoneticPr fontId="1" type="noConversion"/>
  </si>
  <si>
    <t>物流储配实训</t>
    <phoneticPr fontId="1" type="noConversion"/>
  </si>
  <si>
    <t>农药残留检测实训</t>
    <phoneticPr fontId="12" type="noConversion"/>
  </si>
  <si>
    <t>添加剂检测实训</t>
    <phoneticPr fontId="12" type="noConversion"/>
  </si>
  <si>
    <t>重金属分析技术</t>
  </si>
  <si>
    <t>空气中O3污染物浓度变化趋势监测</t>
    <phoneticPr fontId="1" type="noConversion"/>
  </si>
  <si>
    <t>动物性食品中氟喹诺酮类药物残留检测</t>
    <phoneticPr fontId="12" type="noConversion"/>
  </si>
  <si>
    <t>C5</t>
    <phoneticPr fontId="1" type="noConversion"/>
  </si>
  <si>
    <t>C5</t>
    <phoneticPr fontId="1" type="noConversion"/>
  </si>
  <si>
    <t>14港口运输</t>
    <phoneticPr fontId="1" type="noConversion"/>
  </si>
  <si>
    <t>小计</t>
    <phoneticPr fontId="1" type="noConversion"/>
  </si>
  <si>
    <t>小计</t>
    <phoneticPr fontId="1" type="noConversion"/>
  </si>
  <si>
    <t>小计</t>
    <phoneticPr fontId="1" type="noConversion"/>
  </si>
  <si>
    <t>请转帐后于星期一至星期五的早上8:30---下午17:00电话或短信告知转帐金额及班级;联系电话:0592-5087518 短信告知电话：18906015833</t>
    <phoneticPr fontId="1" type="noConversion"/>
  </si>
  <si>
    <t xml:space="preserve">外图集团批销中心帐户资料   户名：   林奕娟   账号：   6227 0019 3558 0252 970     开户行： 厦门建行禾祥西支行      </t>
    <phoneticPr fontId="1" type="noConversion"/>
  </si>
  <si>
    <t>商贸</t>
    <phoneticPr fontId="1" type="noConversion"/>
  </si>
  <si>
    <t>学院</t>
    <phoneticPr fontId="1" type="noConversion"/>
  </si>
  <si>
    <t>学院</t>
    <phoneticPr fontId="1" type="noConversion"/>
  </si>
  <si>
    <t>厦门大学出版社</t>
    <phoneticPr fontId="1" type="noConversion"/>
  </si>
  <si>
    <t>高等教育出版社</t>
    <phoneticPr fontId="1" type="noConversion"/>
  </si>
  <si>
    <t>商贸</t>
    <phoneticPr fontId="1" type="noConversion"/>
  </si>
  <si>
    <t>折价</t>
    <phoneticPr fontId="1" type="noConversion"/>
  </si>
  <si>
    <t>小计</t>
    <phoneticPr fontId="1" type="noConversion"/>
  </si>
  <si>
    <t>小计</t>
    <phoneticPr fontId="1" type="noConversion"/>
  </si>
  <si>
    <t>小计</t>
    <phoneticPr fontId="1" type="noConversion"/>
  </si>
  <si>
    <t>备注</t>
    <phoneticPr fontId="1" type="noConversion"/>
  </si>
  <si>
    <t>厦门华厦学院（15秋）学生付款汇总表</t>
    <phoneticPr fontId="1" type="noConversion"/>
  </si>
  <si>
    <t>厦门华厦学院（15秋）商贸管理系学生教材付款明细表</t>
    <phoneticPr fontId="1" type="noConversion"/>
  </si>
  <si>
    <t>厦门华厦学院（15秋）检验系学生教材付款明细表</t>
    <phoneticPr fontId="1" type="noConversion"/>
  </si>
  <si>
    <t>厦门华厦学院（15秋）健康管理系学生教材付款明细表</t>
    <phoneticPr fontId="1" type="noConversion"/>
  </si>
  <si>
    <t>健康管理</t>
    <phoneticPr fontId="1" type="noConversion"/>
  </si>
  <si>
    <t>2015检验与科技术学系人才培养方案</t>
    <phoneticPr fontId="1" type="noConversion"/>
  </si>
  <si>
    <t>健康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</si>
</sst>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###0.00;\-###0.00;#"/>
    <numFmt numFmtId="177" formatCode="###0;[Red]###0;#"/>
    <numFmt numFmtId="178" formatCode=";;"/>
    <numFmt numFmtId="179" formatCode="0.00;[Red]0.00"/>
    <numFmt numFmtId="180" formatCode="0.0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ajor"/>
    </font>
    <font>
      <sz val="9"/>
      <color theme="1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9"/>
      <name val="Tahoma"/>
      <family val="2"/>
    </font>
    <font>
      <sz val="9"/>
      <name val="宋体"/>
      <family val="2"/>
      <charset val="134"/>
    </font>
    <font>
      <sz val="9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NumberFormat="1" applyFont="1" applyFill="1" applyBorder="1" applyAlignment="1" applyProtection="1"/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/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7" fillId="0" borderId="1" xfId="0" applyFont="1" applyBorder="1">
      <alignment vertical="center"/>
    </xf>
    <xf numFmtId="0" fontId="7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178" fontId="3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>
      <alignment vertical="center"/>
    </xf>
    <xf numFmtId="0" fontId="9" fillId="0" borderId="1" xfId="2" applyFont="1" applyFill="1" applyBorder="1" applyAlignment="1">
      <alignment horizontal="left" vertical="center"/>
    </xf>
    <xf numFmtId="179" fontId="9" fillId="0" borderId="1" xfId="2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/>
    </xf>
    <xf numFmtId="179" fontId="9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179" fontId="10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180" fontId="5" fillId="0" borderId="1" xfId="0" applyNumberFormat="1" applyFont="1" applyFill="1" applyBorder="1" applyAlignment="1" applyProtection="1"/>
    <xf numFmtId="0" fontId="7" fillId="0" borderId="1" xfId="0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176" fontId="3" fillId="0" borderId="5" xfId="0" applyNumberFormat="1" applyFont="1" applyFill="1" applyBorder="1" applyAlignment="1" applyProtection="1">
      <alignment horizontal="right" vertical="center"/>
    </xf>
    <xf numFmtId="177" fontId="3" fillId="0" borderId="5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right" vertical="center"/>
    </xf>
    <xf numFmtId="0" fontId="2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 applyProtection="1">
      <alignment horizontal="left" vertical="center"/>
    </xf>
    <xf numFmtId="178" fontId="3" fillId="0" borderId="6" xfId="0" applyNumberFormat="1" applyFont="1" applyFill="1" applyBorder="1" applyAlignment="1" applyProtection="1">
      <alignment horizontal="left" vertical="center"/>
    </xf>
    <xf numFmtId="176" fontId="3" fillId="0" borderId="6" xfId="0" applyNumberFormat="1" applyFont="1" applyFill="1" applyBorder="1" applyAlignment="1" applyProtection="1">
      <alignment horizontal="left" vertical="center"/>
    </xf>
    <xf numFmtId="176" fontId="3" fillId="0" borderId="6" xfId="0" applyNumberFormat="1" applyFont="1" applyFill="1" applyBorder="1" applyAlignment="1" applyProtection="1">
      <alignment horizontal="right" vertical="center"/>
    </xf>
    <xf numFmtId="177" fontId="3" fillId="0" borderId="6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179" fontId="3" fillId="0" borderId="6" xfId="0" applyNumberFormat="1" applyFont="1" applyFill="1" applyBorder="1" applyAlignment="1" applyProtection="1">
      <alignment horizontal="right" vertical="center"/>
    </xf>
    <xf numFmtId="179" fontId="2" fillId="0" borderId="0" xfId="0" applyNumberFormat="1" applyFont="1" applyFill="1">
      <alignment vertical="center"/>
    </xf>
    <xf numFmtId="179" fontId="0" fillId="0" borderId="0" xfId="0" applyNumberFormat="1" applyFill="1">
      <alignment vertical="center"/>
    </xf>
    <xf numFmtId="179" fontId="3" fillId="0" borderId="5" xfId="0" applyNumberFormat="1" applyFont="1" applyFill="1" applyBorder="1" applyAlignment="1" applyProtection="1">
      <alignment horizontal="right" vertical="center"/>
    </xf>
    <xf numFmtId="0" fontId="2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177" fontId="3" fillId="0" borderId="7" xfId="0" applyNumberFormat="1" applyFont="1" applyFill="1" applyBorder="1" applyAlignment="1" applyProtection="1">
      <alignment horizontal="right" vertical="center"/>
    </xf>
    <xf numFmtId="179" fontId="3" fillId="0" borderId="7" xfId="0" applyNumberFormat="1" applyFont="1" applyFill="1" applyBorder="1" applyAlignment="1" applyProtection="1">
      <alignment horizontal="right" vertical="center"/>
    </xf>
    <xf numFmtId="0" fontId="3" fillId="0" borderId="7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7" xfId="0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Continuous" vertical="center"/>
    </xf>
    <xf numFmtId="179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/>
    <xf numFmtId="0" fontId="1" fillId="0" borderId="0" xfId="0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 applyProtection="1"/>
    <xf numFmtId="0" fontId="2" fillId="0" borderId="8" xfId="0" applyFont="1" applyFill="1" applyBorder="1" applyAlignment="1">
      <alignment vertical="center"/>
    </xf>
    <xf numFmtId="0" fontId="3" fillId="0" borderId="8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 applyProtection="1">
      <alignment horizontal="left" vertical="center"/>
    </xf>
    <xf numFmtId="176" fontId="3" fillId="0" borderId="8" xfId="0" applyNumberFormat="1" applyFont="1" applyFill="1" applyBorder="1" applyAlignment="1" applyProtection="1">
      <alignment horizontal="right" vertical="center"/>
    </xf>
    <xf numFmtId="177" fontId="3" fillId="0" borderId="8" xfId="0" applyNumberFormat="1" applyFont="1" applyFill="1" applyBorder="1" applyAlignment="1" applyProtection="1">
      <alignment horizontal="right" vertical="center"/>
    </xf>
    <xf numFmtId="179" fontId="3" fillId="0" borderId="8" xfId="0" applyNumberFormat="1" applyFont="1" applyFill="1" applyBorder="1" applyAlignment="1" applyProtection="1">
      <alignment horizontal="right" vertical="center"/>
    </xf>
    <xf numFmtId="0" fontId="3" fillId="0" borderId="8" xfId="0" applyNumberFormat="1" applyFont="1" applyFill="1" applyBorder="1" applyAlignment="1" applyProtection="1">
      <alignment horizontal="right" vertical="center"/>
    </xf>
    <xf numFmtId="179" fontId="2" fillId="0" borderId="5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179" fontId="2" fillId="0" borderId="0" xfId="0" applyNumberFormat="1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9" fillId="0" borderId="7" xfId="0" applyFont="1" applyFill="1" applyBorder="1" applyAlignment="1">
      <alignment horizontal="left" vertical="center"/>
    </xf>
    <xf numFmtId="179" fontId="2" fillId="0" borderId="7" xfId="0" applyNumberFormat="1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2" fillId="0" borderId="8" xfId="0" applyFont="1" applyFill="1" applyBorder="1">
      <alignment vertical="center"/>
    </xf>
    <xf numFmtId="0" fontId="9" fillId="0" borderId="8" xfId="0" applyFont="1" applyFill="1" applyBorder="1" applyAlignment="1">
      <alignment horizontal="left" vertical="center"/>
    </xf>
    <xf numFmtId="179" fontId="2" fillId="0" borderId="8" xfId="0" applyNumberFormat="1" applyFont="1" applyFill="1" applyBorder="1">
      <alignment vertical="center"/>
    </xf>
    <xf numFmtId="0" fontId="11" fillId="0" borderId="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/>
    </xf>
    <xf numFmtId="179" fontId="10" fillId="0" borderId="7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179" fontId="10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1" applyFont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179" fontId="10" fillId="0" borderId="5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>
      <alignment vertical="center"/>
    </xf>
    <xf numFmtId="0" fontId="10" fillId="0" borderId="5" xfId="0" applyNumberFormat="1" applyFont="1" applyFill="1" applyBorder="1" applyAlignment="1">
      <alignment horizontal="right" vertical="center"/>
    </xf>
    <xf numFmtId="0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2" fillId="0" borderId="1" xfId="0" applyNumberFormat="1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_Sheet1" xfId="2"/>
    <cellStyle name="样式 1" xfId="3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3"/>
  <sheetViews>
    <sheetView tabSelected="1" topLeftCell="A205" workbookViewId="0">
      <selection activeCell="F385" sqref="F385"/>
    </sheetView>
  </sheetViews>
  <sheetFormatPr defaultRowHeight="13.5"/>
  <cols>
    <col min="1" max="2" width="4.5" style="26" bestFit="1" customWidth="1"/>
    <col min="3" max="3" width="19.75" style="26" bestFit="1" customWidth="1"/>
    <col min="4" max="4" width="10.25" style="26" customWidth="1"/>
    <col min="5" max="5" width="11.125" style="26" customWidth="1"/>
    <col min="6" max="6" width="46.375" style="26" bestFit="1" customWidth="1"/>
    <col min="7" max="7" width="5" style="26" customWidth="1"/>
    <col min="8" max="8" width="4.375" style="26" customWidth="1"/>
    <col min="9" max="9" width="5.125" style="26" customWidth="1"/>
    <col min="10" max="10" width="5.625" style="26" customWidth="1"/>
    <col min="11" max="11" width="4.5" style="26" customWidth="1"/>
    <col min="12" max="12" width="8.25" style="78" bestFit="1" customWidth="1"/>
    <col min="13" max="13" width="8.25" style="78" customWidth="1"/>
    <col min="14" max="14" width="5.25" style="26" bestFit="1" customWidth="1"/>
    <col min="15" max="16384" width="9" style="26"/>
  </cols>
  <sheetData>
    <row r="2" spans="1:14" ht="20.25">
      <c r="A2" s="155" t="s">
        <v>457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4" spans="1:14">
      <c r="A4" s="25" t="s">
        <v>76</v>
      </c>
      <c r="B4" s="7" t="s">
        <v>1</v>
      </c>
      <c r="C4" s="7" t="s">
        <v>284</v>
      </c>
      <c r="D4" s="27" t="s">
        <v>0</v>
      </c>
      <c r="E4" s="27" t="s">
        <v>3</v>
      </c>
      <c r="F4" s="27" t="s">
        <v>4</v>
      </c>
      <c r="G4" s="28" t="s">
        <v>5</v>
      </c>
      <c r="H4" s="27" t="s">
        <v>6</v>
      </c>
      <c r="I4" s="27" t="s">
        <v>7</v>
      </c>
      <c r="J4" s="27" t="s">
        <v>8</v>
      </c>
      <c r="K4" s="27" t="s">
        <v>393</v>
      </c>
      <c r="L4" s="73" t="s">
        <v>394</v>
      </c>
      <c r="M4" s="73" t="s">
        <v>395</v>
      </c>
      <c r="N4" s="29" t="s">
        <v>9</v>
      </c>
    </row>
    <row r="5" spans="1:14">
      <c r="A5" s="25" t="s">
        <v>82</v>
      </c>
      <c r="B5" s="7" t="s">
        <v>81</v>
      </c>
      <c r="C5" s="5" t="s">
        <v>45</v>
      </c>
      <c r="D5" s="8" t="str">
        <f>"PO1508060050"</f>
        <v>PO1508060050</v>
      </c>
      <c r="E5" s="8" t="str">
        <f>"9787121190322"</f>
        <v>9787121190322</v>
      </c>
      <c r="F5" s="21" t="s">
        <v>239</v>
      </c>
      <c r="G5" s="8" t="s">
        <v>187</v>
      </c>
      <c r="H5" s="9" t="s">
        <v>238</v>
      </c>
      <c r="I5" s="8" t="s">
        <v>237</v>
      </c>
      <c r="J5" s="10">
        <v>32</v>
      </c>
      <c r="K5" s="11">
        <v>22</v>
      </c>
      <c r="L5" s="74">
        <f t="shared" ref="L5:L239" si="0">J5*K5</f>
        <v>704</v>
      </c>
      <c r="M5" s="74">
        <f t="shared" ref="M5" si="1">L5*0.8</f>
        <v>563.20000000000005</v>
      </c>
      <c r="N5" s="12">
        <v>80</v>
      </c>
    </row>
    <row r="6" spans="1:14">
      <c r="A6" s="25" t="s">
        <v>82</v>
      </c>
      <c r="B6" s="7" t="s">
        <v>43</v>
      </c>
      <c r="C6" s="5" t="s">
        <v>45</v>
      </c>
      <c r="D6" s="8" t="str">
        <f>"PO1508060050"</f>
        <v>PO1508060050</v>
      </c>
      <c r="E6" s="8" t="str">
        <f>"9787564315078"</f>
        <v>9787564315078</v>
      </c>
      <c r="F6" s="21" t="s">
        <v>243</v>
      </c>
      <c r="G6" s="8" t="s">
        <v>242</v>
      </c>
      <c r="H6" s="9" t="s">
        <v>241</v>
      </c>
      <c r="I6" s="8" t="s">
        <v>240</v>
      </c>
      <c r="J6" s="10">
        <v>36</v>
      </c>
      <c r="K6" s="11">
        <v>4</v>
      </c>
      <c r="L6" s="74">
        <f t="shared" si="0"/>
        <v>144</v>
      </c>
      <c r="M6" s="74">
        <f t="shared" ref="M6:M221" si="2">L6*0.8</f>
        <v>115.2</v>
      </c>
      <c r="N6" s="12">
        <v>80</v>
      </c>
    </row>
    <row r="7" spans="1:14">
      <c r="A7" s="25" t="s">
        <v>74</v>
      </c>
      <c r="B7" s="7" t="s">
        <v>43</v>
      </c>
      <c r="C7" s="5" t="s">
        <v>45</v>
      </c>
      <c r="D7" s="8" t="str">
        <f>"PO1509010099"</f>
        <v>PO1509010099</v>
      </c>
      <c r="E7" s="8" t="str">
        <f>"9787564822156"</f>
        <v>9787564822156</v>
      </c>
      <c r="F7" s="21" t="s">
        <v>88</v>
      </c>
      <c r="G7" s="8" t="s">
        <v>87</v>
      </c>
      <c r="H7" s="9" t="s">
        <v>86</v>
      </c>
      <c r="I7" s="8" t="s">
        <v>85</v>
      </c>
      <c r="J7" s="10">
        <v>32</v>
      </c>
      <c r="K7" s="11">
        <v>4</v>
      </c>
      <c r="L7" s="74">
        <f t="shared" si="0"/>
        <v>128</v>
      </c>
      <c r="M7" s="74">
        <f t="shared" si="2"/>
        <v>102.4</v>
      </c>
      <c r="N7" s="12">
        <v>80</v>
      </c>
    </row>
    <row r="8" spans="1:14">
      <c r="A8" s="25" t="s">
        <v>74</v>
      </c>
      <c r="B8" s="7" t="s">
        <v>43</v>
      </c>
      <c r="C8" s="5" t="s">
        <v>45</v>
      </c>
      <c r="D8" s="8" t="s">
        <v>420</v>
      </c>
      <c r="E8" s="8" t="s">
        <v>420</v>
      </c>
      <c r="F8" s="42" t="s">
        <v>422</v>
      </c>
      <c r="G8" s="8" t="s">
        <v>420</v>
      </c>
      <c r="H8" s="9" t="s">
        <v>420</v>
      </c>
      <c r="I8" s="8" t="s">
        <v>421</v>
      </c>
      <c r="J8" s="10">
        <v>3.6</v>
      </c>
      <c r="K8" s="11">
        <v>49</v>
      </c>
      <c r="L8" s="74">
        <f t="shared" si="0"/>
        <v>176.4</v>
      </c>
      <c r="M8" s="74">
        <f>L8*1</f>
        <v>176.4</v>
      </c>
      <c r="N8" s="12">
        <v>100</v>
      </c>
    </row>
    <row r="9" spans="1:14">
      <c r="A9" s="152" t="s">
        <v>440</v>
      </c>
      <c r="B9" s="153"/>
      <c r="C9" s="153"/>
      <c r="D9" s="153"/>
      <c r="E9" s="153"/>
      <c r="F9" s="153"/>
      <c r="G9" s="153"/>
      <c r="H9" s="153"/>
      <c r="I9" s="153"/>
      <c r="J9" s="154"/>
      <c r="K9" s="11">
        <f>SUM(K5:K8)</f>
        <v>79</v>
      </c>
      <c r="L9" s="74">
        <f t="shared" ref="L9:M9" si="3">SUM(L5:L8)</f>
        <v>1152.4000000000001</v>
      </c>
      <c r="M9" s="74">
        <f t="shared" si="3"/>
        <v>957.2</v>
      </c>
      <c r="N9" s="12"/>
    </row>
    <row r="10" spans="1:14">
      <c r="A10" s="64"/>
      <c r="B10" s="65"/>
      <c r="C10" s="66"/>
      <c r="D10" s="67"/>
      <c r="E10" s="67"/>
      <c r="F10" s="68"/>
      <c r="G10" s="67"/>
      <c r="H10" s="69"/>
      <c r="I10" s="67"/>
      <c r="J10" s="70"/>
      <c r="K10" s="71"/>
      <c r="L10" s="75"/>
      <c r="M10" s="75"/>
      <c r="N10" s="72"/>
    </row>
    <row r="11" spans="1:14" ht="14.25">
      <c r="A11" s="88" t="s">
        <v>444</v>
      </c>
      <c r="B11" s="65"/>
      <c r="C11" s="66"/>
      <c r="D11" s="67"/>
      <c r="E11" s="67"/>
      <c r="F11" s="68"/>
      <c r="G11" s="67"/>
      <c r="H11" s="69"/>
      <c r="I11" s="67"/>
      <c r="J11" s="70"/>
      <c r="K11" s="71"/>
      <c r="L11" s="75"/>
      <c r="M11" s="75"/>
      <c r="N11" s="72"/>
    </row>
    <row r="12" spans="1:14" ht="14.25">
      <c r="A12" s="88" t="s">
        <v>443</v>
      </c>
      <c r="B12" s="65"/>
      <c r="C12" s="66"/>
      <c r="D12" s="67"/>
      <c r="E12" s="67"/>
      <c r="F12" s="68"/>
      <c r="G12" s="67"/>
      <c r="H12" s="69"/>
      <c r="I12" s="67"/>
      <c r="J12" s="70"/>
      <c r="K12" s="71"/>
      <c r="L12" s="75"/>
      <c r="M12" s="75"/>
      <c r="N12" s="72"/>
    </row>
    <row r="13" spans="1:14">
      <c r="A13" s="64"/>
      <c r="B13" s="65"/>
      <c r="C13" s="66"/>
      <c r="D13" s="67"/>
      <c r="E13" s="67"/>
      <c r="F13" s="68"/>
      <c r="G13" s="67"/>
      <c r="H13" s="69"/>
      <c r="I13" s="67"/>
      <c r="J13" s="70"/>
      <c r="K13" s="71"/>
      <c r="L13" s="75"/>
      <c r="M13" s="75"/>
      <c r="N13" s="72"/>
    </row>
    <row r="14" spans="1:14">
      <c r="A14" s="64"/>
      <c r="B14" s="65"/>
      <c r="C14" s="66"/>
      <c r="D14" s="67"/>
      <c r="E14" s="67"/>
      <c r="F14" s="68"/>
      <c r="G14" s="67"/>
      <c r="H14" s="69"/>
      <c r="I14" s="67"/>
      <c r="J14" s="70"/>
      <c r="K14" s="71"/>
      <c r="L14" s="75"/>
      <c r="M14" s="75"/>
      <c r="N14" s="72"/>
    </row>
    <row r="15" spans="1:14">
      <c r="A15" s="64"/>
      <c r="B15" s="65"/>
      <c r="C15" s="66"/>
      <c r="D15" s="67"/>
      <c r="E15" s="67"/>
      <c r="F15" s="68"/>
      <c r="G15" s="67"/>
      <c r="H15" s="69"/>
      <c r="I15" s="67"/>
      <c r="J15" s="70"/>
      <c r="K15" s="71"/>
      <c r="L15" s="75"/>
      <c r="M15" s="75"/>
      <c r="N15" s="72"/>
    </row>
    <row r="16" spans="1:14">
      <c r="A16" s="64"/>
      <c r="B16" s="65"/>
      <c r="C16" s="66"/>
      <c r="D16" s="67"/>
      <c r="E16" s="67"/>
      <c r="F16" s="68"/>
      <c r="G16" s="67"/>
      <c r="H16" s="69"/>
      <c r="I16" s="67"/>
      <c r="J16" s="70"/>
      <c r="K16" s="71"/>
      <c r="L16" s="75"/>
      <c r="M16" s="75"/>
      <c r="N16" s="72"/>
    </row>
    <row r="17" spans="1:14">
      <c r="A17" s="64"/>
      <c r="B17" s="65"/>
      <c r="C17" s="66"/>
      <c r="D17" s="67"/>
      <c r="E17" s="67"/>
      <c r="F17" s="68"/>
      <c r="G17" s="67"/>
      <c r="H17" s="69"/>
      <c r="I17" s="67"/>
      <c r="J17" s="70"/>
      <c r="K17" s="71"/>
      <c r="L17" s="75"/>
      <c r="M17" s="75"/>
      <c r="N17" s="72"/>
    </row>
    <row r="18" spans="1:14">
      <c r="A18" s="25" t="s">
        <v>76</v>
      </c>
      <c r="B18" s="7" t="s">
        <v>1</v>
      </c>
      <c r="C18" s="7" t="s">
        <v>284</v>
      </c>
      <c r="D18" s="27" t="s">
        <v>0</v>
      </c>
      <c r="E18" s="27" t="s">
        <v>3</v>
      </c>
      <c r="F18" s="27" t="s">
        <v>4</v>
      </c>
      <c r="G18" s="28" t="s">
        <v>5</v>
      </c>
      <c r="H18" s="27" t="s">
        <v>6</v>
      </c>
      <c r="I18" s="27" t="s">
        <v>7</v>
      </c>
      <c r="J18" s="27" t="s">
        <v>8</v>
      </c>
      <c r="K18" s="27" t="s">
        <v>393</v>
      </c>
      <c r="L18" s="73" t="s">
        <v>394</v>
      </c>
      <c r="M18" s="73" t="s">
        <v>395</v>
      </c>
      <c r="N18" s="29" t="s">
        <v>9</v>
      </c>
    </row>
    <row r="19" spans="1:14">
      <c r="A19" s="55" t="s">
        <v>257</v>
      </c>
      <c r="B19" s="56" t="s">
        <v>23</v>
      </c>
      <c r="C19" s="57" t="s">
        <v>20</v>
      </c>
      <c r="D19" s="58" t="str">
        <f>"PO1508060052"</f>
        <v>PO1508060052</v>
      </c>
      <c r="E19" s="58" t="str">
        <f>"9787121190506"</f>
        <v>9787121190506</v>
      </c>
      <c r="F19" s="59" t="s">
        <v>256</v>
      </c>
      <c r="G19" s="58" t="s">
        <v>187</v>
      </c>
      <c r="H19" s="60" t="s">
        <v>102</v>
      </c>
      <c r="I19" s="58" t="s">
        <v>255</v>
      </c>
      <c r="J19" s="61">
        <v>59</v>
      </c>
      <c r="K19" s="62">
        <v>20</v>
      </c>
      <c r="L19" s="76">
        <f t="shared" si="0"/>
        <v>1180</v>
      </c>
      <c r="M19" s="76">
        <f t="shared" si="2"/>
        <v>944</v>
      </c>
      <c r="N19" s="63">
        <v>80</v>
      </c>
    </row>
    <row r="20" spans="1:14">
      <c r="A20" s="25" t="s">
        <v>74</v>
      </c>
      <c r="B20" s="7" t="s">
        <v>23</v>
      </c>
      <c r="C20" s="5" t="s">
        <v>20</v>
      </c>
      <c r="D20" s="8" t="str">
        <f>"PO1508180114"</f>
        <v>PO1508180114</v>
      </c>
      <c r="E20" s="8" t="str">
        <f>"9787511316691"</f>
        <v>9787511316691</v>
      </c>
      <c r="F20" s="21" t="s">
        <v>121</v>
      </c>
      <c r="G20" s="8" t="s">
        <v>120</v>
      </c>
      <c r="H20" s="9" t="s">
        <v>119</v>
      </c>
      <c r="I20" s="8" t="s">
        <v>118</v>
      </c>
      <c r="J20" s="10">
        <v>29.8</v>
      </c>
      <c r="K20" s="11">
        <v>1</v>
      </c>
      <c r="L20" s="74">
        <f t="shared" si="0"/>
        <v>29.8</v>
      </c>
      <c r="M20" s="74">
        <f t="shared" si="2"/>
        <v>23.840000000000003</v>
      </c>
      <c r="N20" s="12">
        <v>80</v>
      </c>
    </row>
    <row r="21" spans="1:14">
      <c r="A21" s="25" t="s">
        <v>74</v>
      </c>
      <c r="B21" s="7" t="s">
        <v>23</v>
      </c>
      <c r="C21" s="5" t="s">
        <v>20</v>
      </c>
      <c r="D21" s="8" t="s">
        <v>420</v>
      </c>
      <c r="E21" s="8" t="s">
        <v>420</v>
      </c>
      <c r="F21" s="43" t="s">
        <v>423</v>
      </c>
      <c r="G21" s="8" t="s">
        <v>420</v>
      </c>
      <c r="H21" s="9" t="s">
        <v>420</v>
      </c>
      <c r="I21" s="8" t="s">
        <v>421</v>
      </c>
      <c r="J21" s="10">
        <v>3.6</v>
      </c>
      <c r="K21" s="11">
        <v>44</v>
      </c>
      <c r="L21" s="74">
        <f t="shared" si="0"/>
        <v>158.4</v>
      </c>
      <c r="M21" s="74">
        <f>L21*1</f>
        <v>158.4</v>
      </c>
      <c r="N21" s="12">
        <v>100</v>
      </c>
    </row>
    <row r="22" spans="1:14">
      <c r="A22" s="25" t="s">
        <v>74</v>
      </c>
      <c r="B22" s="7" t="s">
        <v>23</v>
      </c>
      <c r="C22" s="5" t="s">
        <v>20</v>
      </c>
      <c r="D22" s="8" t="s">
        <v>420</v>
      </c>
      <c r="E22" s="8" t="s">
        <v>420</v>
      </c>
      <c r="F22" s="42" t="s">
        <v>426</v>
      </c>
      <c r="G22" s="8" t="s">
        <v>420</v>
      </c>
      <c r="H22" s="8" t="s">
        <v>420</v>
      </c>
      <c r="I22" s="8" t="s">
        <v>420</v>
      </c>
      <c r="J22" s="10">
        <v>3.1</v>
      </c>
      <c r="K22" s="11">
        <v>44</v>
      </c>
      <c r="L22" s="74">
        <f>J22*K22</f>
        <v>136.4</v>
      </c>
      <c r="M22" s="74">
        <f>L22*1</f>
        <v>136.4</v>
      </c>
      <c r="N22" s="12">
        <v>100</v>
      </c>
    </row>
    <row r="23" spans="1:14">
      <c r="A23" s="152" t="s">
        <v>440</v>
      </c>
      <c r="B23" s="153"/>
      <c r="C23" s="153"/>
      <c r="D23" s="153"/>
      <c r="E23" s="153"/>
      <c r="F23" s="153"/>
      <c r="G23" s="153"/>
      <c r="H23" s="153"/>
      <c r="I23" s="153"/>
      <c r="J23" s="154"/>
      <c r="K23" s="11">
        <f>SUM(K19:K22)</f>
        <v>109</v>
      </c>
      <c r="L23" s="74">
        <f t="shared" ref="L23:M23" si="4">SUM(L19:L22)</f>
        <v>1504.6000000000001</v>
      </c>
      <c r="M23" s="74">
        <f t="shared" si="4"/>
        <v>1262.6400000000001</v>
      </c>
      <c r="N23" s="12"/>
    </row>
    <row r="24" spans="1:14">
      <c r="A24" s="64"/>
      <c r="B24" s="65"/>
      <c r="C24" s="66"/>
      <c r="D24" s="67"/>
      <c r="E24" s="67"/>
      <c r="F24" s="68"/>
      <c r="G24" s="67"/>
      <c r="H24" s="67"/>
      <c r="I24" s="67"/>
      <c r="J24" s="70"/>
      <c r="K24" s="71"/>
      <c r="L24" s="75"/>
      <c r="M24" s="75"/>
      <c r="N24" s="72"/>
    </row>
    <row r="25" spans="1:14" ht="14.25">
      <c r="A25" s="88" t="s">
        <v>444</v>
      </c>
      <c r="B25" s="65"/>
      <c r="C25" s="66"/>
      <c r="D25" s="67"/>
      <c r="E25" s="67"/>
      <c r="F25" s="68"/>
      <c r="G25" s="67"/>
      <c r="H25" s="67"/>
      <c r="I25" s="67"/>
      <c r="J25" s="70"/>
      <c r="K25" s="71"/>
      <c r="L25" s="75"/>
      <c r="M25" s="75"/>
      <c r="N25" s="72"/>
    </row>
    <row r="26" spans="1:14" ht="14.25">
      <c r="A26" s="88" t="s">
        <v>443</v>
      </c>
      <c r="B26" s="65"/>
      <c r="C26" s="66"/>
      <c r="D26" s="67"/>
      <c r="E26" s="67"/>
      <c r="F26" s="68"/>
      <c r="G26" s="67"/>
      <c r="H26" s="67"/>
      <c r="I26" s="67"/>
      <c r="J26" s="70"/>
      <c r="K26" s="71"/>
      <c r="L26" s="75"/>
      <c r="M26" s="75"/>
      <c r="N26" s="72"/>
    </row>
    <row r="27" spans="1:14">
      <c r="A27" s="64"/>
      <c r="B27" s="65"/>
      <c r="C27" s="66"/>
      <c r="D27" s="67"/>
      <c r="E27" s="67"/>
      <c r="F27" s="68"/>
      <c r="G27" s="67"/>
      <c r="H27" s="67"/>
      <c r="I27" s="67"/>
      <c r="J27" s="70"/>
      <c r="K27" s="71"/>
      <c r="L27" s="75"/>
      <c r="M27" s="75"/>
      <c r="N27" s="72"/>
    </row>
    <row r="28" spans="1:14">
      <c r="A28" s="64"/>
      <c r="B28" s="65"/>
      <c r="C28" s="66"/>
      <c r="D28" s="67"/>
      <c r="E28" s="67"/>
      <c r="F28" s="68"/>
      <c r="G28" s="67"/>
      <c r="H28" s="67"/>
      <c r="I28" s="67"/>
      <c r="J28" s="70"/>
      <c r="K28" s="71"/>
      <c r="L28" s="75"/>
      <c r="M28" s="75"/>
      <c r="N28" s="72"/>
    </row>
    <row r="29" spans="1:14">
      <c r="A29" s="64"/>
      <c r="B29" s="65"/>
      <c r="C29" s="66"/>
      <c r="D29" s="67"/>
      <c r="E29" s="67"/>
      <c r="F29" s="68"/>
      <c r="G29" s="67"/>
      <c r="H29" s="67"/>
      <c r="I29" s="67"/>
      <c r="J29" s="70"/>
      <c r="K29" s="71"/>
      <c r="L29" s="75"/>
      <c r="M29" s="75"/>
      <c r="N29" s="72"/>
    </row>
    <row r="30" spans="1:14">
      <c r="A30" s="64"/>
      <c r="B30" s="65"/>
      <c r="C30" s="66"/>
      <c r="D30" s="67"/>
      <c r="E30" s="67"/>
      <c r="F30" s="68"/>
      <c r="G30" s="67"/>
      <c r="H30" s="67"/>
      <c r="I30" s="67"/>
      <c r="J30" s="70"/>
      <c r="K30" s="71"/>
      <c r="L30" s="75"/>
      <c r="M30" s="75"/>
      <c r="N30" s="72"/>
    </row>
    <row r="31" spans="1:14">
      <c r="A31" s="64"/>
      <c r="B31" s="65"/>
      <c r="C31" s="66"/>
      <c r="D31" s="67"/>
      <c r="E31" s="67"/>
      <c r="F31" s="68"/>
      <c r="G31" s="67"/>
      <c r="H31" s="67"/>
      <c r="I31" s="67"/>
      <c r="J31" s="70"/>
      <c r="K31" s="71"/>
      <c r="L31" s="75"/>
      <c r="M31" s="75"/>
      <c r="N31" s="72"/>
    </row>
    <row r="32" spans="1:14">
      <c r="A32" s="25" t="s">
        <v>76</v>
      </c>
      <c r="B32" s="7" t="s">
        <v>1</v>
      </c>
      <c r="C32" s="7" t="s">
        <v>284</v>
      </c>
      <c r="D32" s="27" t="s">
        <v>0</v>
      </c>
      <c r="E32" s="27" t="s">
        <v>3</v>
      </c>
      <c r="F32" s="27" t="s">
        <v>4</v>
      </c>
      <c r="G32" s="28" t="s">
        <v>5</v>
      </c>
      <c r="H32" s="27" t="s">
        <v>6</v>
      </c>
      <c r="I32" s="27" t="s">
        <v>7</v>
      </c>
      <c r="J32" s="27" t="s">
        <v>8</v>
      </c>
      <c r="K32" s="27" t="s">
        <v>393</v>
      </c>
      <c r="L32" s="73" t="s">
        <v>394</v>
      </c>
      <c r="M32" s="73" t="s">
        <v>395</v>
      </c>
      <c r="N32" s="29" t="s">
        <v>9</v>
      </c>
    </row>
    <row r="33" spans="1:14">
      <c r="A33" s="55" t="s">
        <v>82</v>
      </c>
      <c r="B33" s="56" t="s">
        <v>16</v>
      </c>
      <c r="C33" s="57" t="s">
        <v>22</v>
      </c>
      <c r="D33" s="58" t="str">
        <f>"PO1508060053"</f>
        <v>PO1508060053</v>
      </c>
      <c r="E33" s="58" t="str">
        <f>"9787121190506"</f>
        <v>9787121190506</v>
      </c>
      <c r="F33" s="59" t="s">
        <v>256</v>
      </c>
      <c r="G33" s="58" t="s">
        <v>187</v>
      </c>
      <c r="H33" s="60" t="s">
        <v>102</v>
      </c>
      <c r="I33" s="58" t="s">
        <v>255</v>
      </c>
      <c r="J33" s="61">
        <v>59</v>
      </c>
      <c r="K33" s="62">
        <v>18</v>
      </c>
      <c r="L33" s="76">
        <f t="shared" si="0"/>
        <v>1062</v>
      </c>
      <c r="M33" s="76">
        <f t="shared" si="2"/>
        <v>849.6</v>
      </c>
      <c r="N33" s="63">
        <v>80</v>
      </c>
    </row>
    <row r="34" spans="1:14">
      <c r="A34" s="25" t="s">
        <v>74</v>
      </c>
      <c r="B34" s="7" t="s">
        <v>16</v>
      </c>
      <c r="C34" s="5" t="s">
        <v>22</v>
      </c>
      <c r="D34" s="8" t="s">
        <v>375</v>
      </c>
      <c r="E34" s="8" t="s">
        <v>376</v>
      </c>
      <c r="F34" s="33" t="s">
        <v>386</v>
      </c>
      <c r="G34" s="8" t="s">
        <v>375</v>
      </c>
      <c r="H34" s="8" t="s">
        <v>376</v>
      </c>
      <c r="I34" s="8" t="s">
        <v>375</v>
      </c>
      <c r="J34" s="10">
        <v>5</v>
      </c>
      <c r="K34" s="11">
        <v>19</v>
      </c>
      <c r="L34" s="74">
        <f t="shared" si="0"/>
        <v>95</v>
      </c>
      <c r="M34" s="74">
        <f>L34*1</f>
        <v>95</v>
      </c>
      <c r="N34" s="12">
        <v>100</v>
      </c>
    </row>
    <row r="35" spans="1:14">
      <c r="A35" s="25" t="s">
        <v>74</v>
      </c>
      <c r="B35" s="7" t="s">
        <v>16</v>
      </c>
      <c r="C35" s="5" t="s">
        <v>22</v>
      </c>
      <c r="D35" s="8" t="s">
        <v>420</v>
      </c>
      <c r="E35" s="8" t="s">
        <v>420</v>
      </c>
      <c r="F35" s="43" t="s">
        <v>424</v>
      </c>
      <c r="G35" s="8" t="s">
        <v>420</v>
      </c>
      <c r="H35" s="9" t="s">
        <v>420</v>
      </c>
      <c r="I35" s="8" t="s">
        <v>421</v>
      </c>
      <c r="J35" s="10">
        <v>3.6</v>
      </c>
      <c r="K35" s="11">
        <v>39</v>
      </c>
      <c r="L35" s="74">
        <f t="shared" si="0"/>
        <v>140.4</v>
      </c>
      <c r="M35" s="74">
        <f>L35*1</f>
        <v>140.4</v>
      </c>
      <c r="N35" s="12">
        <v>100</v>
      </c>
    </row>
    <row r="36" spans="1:14">
      <c r="A36" s="25" t="s">
        <v>74</v>
      </c>
      <c r="B36" s="7" t="s">
        <v>16</v>
      </c>
      <c r="C36" s="5" t="s">
        <v>22</v>
      </c>
      <c r="D36" s="8" t="s">
        <v>420</v>
      </c>
      <c r="E36" s="8" t="s">
        <v>420</v>
      </c>
      <c r="F36" s="42" t="s">
        <v>426</v>
      </c>
      <c r="G36" s="8" t="s">
        <v>420</v>
      </c>
      <c r="H36" s="8" t="s">
        <v>420</v>
      </c>
      <c r="I36" s="8" t="s">
        <v>420</v>
      </c>
      <c r="J36" s="10">
        <v>3.1</v>
      </c>
      <c r="K36" s="11">
        <v>39</v>
      </c>
      <c r="L36" s="74">
        <f>J36*K36</f>
        <v>120.9</v>
      </c>
      <c r="M36" s="74">
        <f>L36*1</f>
        <v>120.9</v>
      </c>
      <c r="N36" s="12">
        <v>100</v>
      </c>
    </row>
    <row r="37" spans="1:14">
      <c r="A37" s="152" t="s">
        <v>441</v>
      </c>
      <c r="B37" s="153"/>
      <c r="C37" s="153"/>
      <c r="D37" s="153"/>
      <c r="E37" s="153"/>
      <c r="F37" s="153"/>
      <c r="G37" s="153"/>
      <c r="H37" s="153"/>
      <c r="I37" s="153"/>
      <c r="J37" s="154"/>
      <c r="K37" s="53">
        <f>SUM(K33:K36)</f>
        <v>115</v>
      </c>
      <c r="L37" s="79">
        <f t="shared" ref="L37:M37" si="5">SUM(L33:L36)</f>
        <v>1418.3000000000002</v>
      </c>
      <c r="M37" s="79">
        <f t="shared" si="5"/>
        <v>1205.9000000000001</v>
      </c>
      <c r="N37" s="54"/>
    </row>
    <row r="38" spans="1:14">
      <c r="A38" s="64"/>
      <c r="B38" s="65"/>
      <c r="C38" s="66"/>
      <c r="D38" s="67"/>
      <c r="E38" s="67"/>
      <c r="F38" s="68"/>
      <c r="G38" s="67"/>
      <c r="H38" s="67"/>
      <c r="I38" s="67"/>
      <c r="J38" s="70"/>
      <c r="K38" s="71"/>
      <c r="L38" s="75"/>
      <c r="M38" s="75"/>
      <c r="N38" s="72"/>
    </row>
    <row r="39" spans="1:14" ht="14.25">
      <c r="A39" s="88" t="s">
        <v>444</v>
      </c>
      <c r="B39" s="65"/>
      <c r="C39" s="66"/>
      <c r="D39" s="67"/>
      <c r="E39" s="67"/>
      <c r="F39" s="68"/>
      <c r="G39" s="67"/>
      <c r="H39" s="67"/>
      <c r="I39" s="67"/>
      <c r="J39" s="70"/>
      <c r="K39" s="71"/>
      <c r="L39" s="75"/>
      <c r="M39" s="75"/>
      <c r="N39" s="72"/>
    </row>
    <row r="40" spans="1:14" ht="14.25">
      <c r="A40" s="88" t="s">
        <v>443</v>
      </c>
      <c r="B40" s="65"/>
      <c r="C40" s="66"/>
      <c r="D40" s="67"/>
      <c r="E40" s="67"/>
      <c r="F40" s="68"/>
      <c r="G40" s="67"/>
      <c r="H40" s="67"/>
      <c r="I40" s="67"/>
      <c r="J40" s="70"/>
      <c r="K40" s="71"/>
      <c r="L40" s="75"/>
      <c r="M40" s="75"/>
      <c r="N40" s="72"/>
    </row>
    <row r="41" spans="1:14">
      <c r="A41" s="64"/>
      <c r="B41" s="65"/>
      <c r="C41" s="66"/>
      <c r="D41" s="67"/>
      <c r="E41" s="67"/>
      <c r="F41" s="68"/>
      <c r="G41" s="67"/>
      <c r="H41" s="67"/>
      <c r="I41" s="67"/>
      <c r="J41" s="70"/>
      <c r="K41" s="71"/>
      <c r="L41" s="75"/>
      <c r="M41" s="75"/>
      <c r="N41" s="72"/>
    </row>
    <row r="42" spans="1:14">
      <c r="A42" s="64"/>
      <c r="B42" s="65"/>
      <c r="C42" s="66"/>
      <c r="D42" s="67"/>
      <c r="E42" s="67"/>
      <c r="F42" s="68"/>
      <c r="G42" s="67"/>
      <c r="H42" s="67"/>
      <c r="I42" s="67"/>
      <c r="J42" s="70"/>
      <c r="K42" s="71"/>
      <c r="L42" s="75"/>
      <c r="M42" s="75"/>
      <c r="N42" s="72"/>
    </row>
    <row r="43" spans="1:14">
      <c r="A43" s="64"/>
      <c r="B43" s="65"/>
      <c r="C43" s="66"/>
      <c r="D43" s="67"/>
      <c r="E43" s="67"/>
      <c r="F43" s="68"/>
      <c r="G43" s="67"/>
      <c r="H43" s="67"/>
      <c r="I43" s="67"/>
      <c r="J43" s="70"/>
      <c r="K43" s="71"/>
      <c r="L43" s="75"/>
      <c r="M43" s="75"/>
      <c r="N43" s="72"/>
    </row>
    <row r="44" spans="1:14">
      <c r="A44" s="64"/>
      <c r="B44" s="65"/>
      <c r="C44" s="66"/>
      <c r="D44" s="67"/>
      <c r="E44" s="67"/>
      <c r="F44" s="68"/>
      <c r="G44" s="67"/>
      <c r="H44" s="67"/>
      <c r="I44" s="67"/>
      <c r="J44" s="70"/>
      <c r="K44" s="71"/>
      <c r="L44" s="75"/>
      <c r="M44" s="75"/>
      <c r="N44" s="72"/>
    </row>
    <row r="45" spans="1:14">
      <c r="A45" s="64"/>
      <c r="B45" s="65"/>
      <c r="C45" s="66"/>
      <c r="D45" s="67"/>
      <c r="E45" s="67"/>
      <c r="F45" s="68"/>
      <c r="G45" s="67"/>
      <c r="H45" s="67"/>
      <c r="I45" s="67"/>
      <c r="J45" s="70"/>
      <c r="K45" s="71"/>
      <c r="L45" s="75"/>
      <c r="M45" s="75"/>
      <c r="N45" s="72"/>
    </row>
    <row r="46" spans="1:14">
      <c r="A46" s="25" t="s">
        <v>76</v>
      </c>
      <c r="B46" s="7" t="s">
        <v>1</v>
      </c>
      <c r="C46" s="7" t="s">
        <v>284</v>
      </c>
      <c r="D46" s="27" t="s">
        <v>0</v>
      </c>
      <c r="E46" s="27" t="s">
        <v>3</v>
      </c>
      <c r="F46" s="27" t="s">
        <v>4</v>
      </c>
      <c r="G46" s="28" t="s">
        <v>5</v>
      </c>
      <c r="H46" s="27" t="s">
        <v>6</v>
      </c>
      <c r="I46" s="27" t="s">
        <v>7</v>
      </c>
      <c r="J46" s="27" t="s">
        <v>8</v>
      </c>
      <c r="K46" s="27" t="s">
        <v>393</v>
      </c>
      <c r="L46" s="73" t="s">
        <v>394</v>
      </c>
      <c r="M46" s="73" t="s">
        <v>395</v>
      </c>
      <c r="N46" s="29" t="s">
        <v>9</v>
      </c>
    </row>
    <row r="47" spans="1:14">
      <c r="A47" s="25" t="s">
        <v>254</v>
      </c>
      <c r="B47" s="7" t="s">
        <v>35</v>
      </c>
      <c r="C47" s="5" t="s">
        <v>46</v>
      </c>
      <c r="D47" s="8" t="str">
        <f>"PO1508060054"</f>
        <v>PO1508060054</v>
      </c>
      <c r="E47" s="8" t="str">
        <f>"9787802345713"</f>
        <v>9787802345713</v>
      </c>
      <c r="F47" s="21" t="s">
        <v>253</v>
      </c>
      <c r="G47" s="8" t="s">
        <v>252</v>
      </c>
      <c r="H47" s="9" t="s">
        <v>251</v>
      </c>
      <c r="I47" s="8" t="s">
        <v>250</v>
      </c>
      <c r="J47" s="10">
        <v>29</v>
      </c>
      <c r="K47" s="11">
        <v>14</v>
      </c>
      <c r="L47" s="74">
        <f t="shared" si="0"/>
        <v>406</v>
      </c>
      <c r="M47" s="74">
        <f t="shared" si="2"/>
        <v>324.8</v>
      </c>
      <c r="N47" s="12">
        <v>80</v>
      </c>
    </row>
    <row r="48" spans="1:14">
      <c r="A48" s="25" t="s">
        <v>82</v>
      </c>
      <c r="B48" s="7" t="s">
        <v>35</v>
      </c>
      <c r="C48" s="5" t="s">
        <v>46</v>
      </c>
      <c r="D48" s="8" t="str">
        <f>"PO1508060054"</f>
        <v>PO1508060054</v>
      </c>
      <c r="E48" s="8" t="str">
        <f>"9787561176689"</f>
        <v>9787561176689</v>
      </c>
      <c r="F48" s="21" t="s">
        <v>249</v>
      </c>
      <c r="G48" s="8" t="s">
        <v>178</v>
      </c>
      <c r="H48" s="9" t="s">
        <v>142</v>
      </c>
      <c r="I48" s="8" t="s">
        <v>248</v>
      </c>
      <c r="J48" s="10">
        <v>35</v>
      </c>
      <c r="K48" s="11">
        <v>14</v>
      </c>
      <c r="L48" s="74">
        <f t="shared" si="0"/>
        <v>490</v>
      </c>
      <c r="M48" s="74">
        <f t="shared" si="2"/>
        <v>392</v>
      </c>
      <c r="N48" s="12">
        <v>80</v>
      </c>
    </row>
    <row r="49" spans="1:14">
      <c r="A49" s="25" t="s">
        <v>82</v>
      </c>
      <c r="B49" s="7" t="s">
        <v>35</v>
      </c>
      <c r="C49" s="5" t="s">
        <v>46</v>
      </c>
      <c r="D49" s="8" t="str">
        <f>"PO1508060054"</f>
        <v>PO1508060054</v>
      </c>
      <c r="E49" s="8" t="str">
        <f>"9787300095257"</f>
        <v>9787300095257</v>
      </c>
      <c r="F49" s="21" t="s">
        <v>247</v>
      </c>
      <c r="G49" s="8" t="s">
        <v>246</v>
      </c>
      <c r="H49" s="9" t="s">
        <v>245</v>
      </c>
      <c r="I49" s="8" t="s">
        <v>244</v>
      </c>
      <c r="J49" s="10">
        <v>59</v>
      </c>
      <c r="K49" s="11">
        <v>14</v>
      </c>
      <c r="L49" s="74">
        <f t="shared" si="0"/>
        <v>826</v>
      </c>
      <c r="M49" s="74">
        <f t="shared" si="2"/>
        <v>660.80000000000007</v>
      </c>
      <c r="N49" s="12">
        <v>80</v>
      </c>
    </row>
    <row r="50" spans="1:14">
      <c r="A50" s="25" t="s">
        <v>74</v>
      </c>
      <c r="B50" s="7" t="s">
        <v>35</v>
      </c>
      <c r="C50" s="5" t="s">
        <v>46</v>
      </c>
      <c r="D50" s="8" t="str">
        <f>"PO1508180115"</f>
        <v>PO1508180115</v>
      </c>
      <c r="E50" s="8" t="str">
        <f>"9787511316691"</f>
        <v>9787511316691</v>
      </c>
      <c r="F50" s="21" t="s">
        <v>121</v>
      </c>
      <c r="G50" s="8" t="s">
        <v>120</v>
      </c>
      <c r="H50" s="9" t="s">
        <v>119</v>
      </c>
      <c r="I50" s="8" t="s">
        <v>118</v>
      </c>
      <c r="J50" s="10">
        <v>29.8</v>
      </c>
      <c r="K50" s="11">
        <v>30</v>
      </c>
      <c r="L50" s="74">
        <f t="shared" si="0"/>
        <v>894</v>
      </c>
      <c r="M50" s="74">
        <f t="shared" si="2"/>
        <v>715.2</v>
      </c>
      <c r="N50" s="12">
        <v>80</v>
      </c>
    </row>
    <row r="51" spans="1:14">
      <c r="A51" s="25" t="s">
        <v>74</v>
      </c>
      <c r="B51" s="7" t="s">
        <v>35</v>
      </c>
      <c r="C51" s="5" t="s">
        <v>46</v>
      </c>
      <c r="D51" s="8" t="s">
        <v>421</v>
      </c>
      <c r="E51" s="8" t="s">
        <v>421</v>
      </c>
      <c r="F51" s="43" t="s">
        <v>427</v>
      </c>
      <c r="G51" s="8" t="s">
        <v>421</v>
      </c>
      <c r="H51" s="8" t="s">
        <v>421</v>
      </c>
      <c r="I51" s="8" t="s">
        <v>421</v>
      </c>
      <c r="J51" s="10">
        <v>3.1</v>
      </c>
      <c r="K51" s="11">
        <v>49</v>
      </c>
      <c r="L51" s="74">
        <f>J51*K51</f>
        <v>151.9</v>
      </c>
      <c r="M51" s="74">
        <f>L51*1</f>
        <v>151.9</v>
      </c>
      <c r="N51" s="12">
        <v>100</v>
      </c>
    </row>
    <row r="52" spans="1:14">
      <c r="A52" s="152" t="s">
        <v>442</v>
      </c>
      <c r="B52" s="153"/>
      <c r="C52" s="153"/>
      <c r="D52" s="153"/>
      <c r="E52" s="153"/>
      <c r="F52" s="153"/>
      <c r="G52" s="153"/>
      <c r="H52" s="153"/>
      <c r="I52" s="153"/>
      <c r="J52" s="154"/>
      <c r="K52" s="53">
        <f>SUM(K47:K51)</f>
        <v>121</v>
      </c>
      <c r="L52" s="79">
        <f t="shared" ref="L52:M52" si="6">SUM(L47:L51)</f>
        <v>2767.9</v>
      </c>
      <c r="M52" s="79">
        <f t="shared" si="6"/>
        <v>2244.7000000000003</v>
      </c>
      <c r="N52" s="54"/>
    </row>
    <row r="53" spans="1:14">
      <c r="A53" s="64"/>
      <c r="B53" s="65"/>
      <c r="C53" s="66"/>
      <c r="D53" s="67"/>
      <c r="E53" s="67"/>
      <c r="F53" s="87"/>
      <c r="G53" s="67"/>
      <c r="H53" s="67"/>
      <c r="I53" s="67"/>
      <c r="J53" s="70"/>
      <c r="K53" s="71"/>
      <c r="L53" s="75"/>
      <c r="M53" s="75"/>
      <c r="N53" s="72"/>
    </row>
    <row r="54" spans="1:14" ht="14.25">
      <c r="A54" s="88" t="s">
        <v>444</v>
      </c>
      <c r="B54" s="65"/>
      <c r="C54" s="66"/>
      <c r="D54" s="67"/>
      <c r="E54" s="67"/>
      <c r="F54" s="87"/>
      <c r="G54" s="67"/>
      <c r="H54" s="67"/>
      <c r="I54" s="67"/>
      <c r="J54" s="70"/>
      <c r="K54" s="71"/>
      <c r="L54" s="75"/>
      <c r="M54" s="75"/>
      <c r="N54" s="72"/>
    </row>
    <row r="55" spans="1:14" ht="14.25">
      <c r="A55" s="88" t="s">
        <v>443</v>
      </c>
      <c r="B55" s="65"/>
      <c r="C55" s="66"/>
      <c r="D55" s="67"/>
      <c r="E55" s="67"/>
      <c r="F55" s="87"/>
      <c r="G55" s="67"/>
      <c r="H55" s="67"/>
      <c r="I55" s="67"/>
      <c r="J55" s="70"/>
      <c r="K55" s="71"/>
      <c r="L55" s="75"/>
      <c r="M55" s="75"/>
      <c r="N55" s="72"/>
    </row>
    <row r="56" spans="1:14">
      <c r="A56" s="64"/>
      <c r="B56" s="65"/>
      <c r="C56" s="66"/>
      <c r="D56" s="67"/>
      <c r="E56" s="67"/>
      <c r="F56" s="87"/>
      <c r="G56" s="67"/>
      <c r="H56" s="67"/>
      <c r="I56" s="67"/>
      <c r="J56" s="70"/>
      <c r="K56" s="71"/>
      <c r="L56" s="75"/>
      <c r="M56" s="75"/>
      <c r="N56" s="72"/>
    </row>
    <row r="57" spans="1:14">
      <c r="A57" s="64"/>
      <c r="B57" s="65"/>
      <c r="C57" s="66"/>
      <c r="D57" s="67"/>
      <c r="E57" s="67"/>
      <c r="F57" s="87"/>
      <c r="G57" s="67"/>
      <c r="H57" s="67"/>
      <c r="I57" s="67"/>
      <c r="J57" s="70"/>
      <c r="K57" s="71"/>
      <c r="L57" s="75"/>
      <c r="M57" s="75"/>
      <c r="N57" s="72"/>
    </row>
    <row r="58" spans="1:14">
      <c r="A58" s="64"/>
      <c r="B58" s="65"/>
      <c r="C58" s="66"/>
      <c r="D58" s="67"/>
      <c r="E58" s="67"/>
      <c r="F58" s="87"/>
      <c r="G58" s="67"/>
      <c r="H58" s="67"/>
      <c r="I58" s="67"/>
      <c r="J58" s="70"/>
      <c r="K58" s="71"/>
      <c r="L58" s="75"/>
      <c r="M58" s="75"/>
      <c r="N58" s="72"/>
    </row>
    <row r="59" spans="1:14">
      <c r="A59" s="64"/>
      <c r="B59" s="65"/>
      <c r="C59" s="66"/>
      <c r="D59" s="67"/>
      <c r="E59" s="67"/>
      <c r="F59" s="87"/>
      <c r="G59" s="67"/>
      <c r="H59" s="67"/>
      <c r="I59" s="67"/>
      <c r="J59" s="70"/>
      <c r="K59" s="71"/>
      <c r="L59" s="75"/>
      <c r="M59" s="75"/>
      <c r="N59" s="72"/>
    </row>
    <row r="60" spans="1:14">
      <c r="A60" s="64"/>
      <c r="B60" s="65"/>
      <c r="C60" s="66"/>
      <c r="D60" s="67"/>
      <c r="E60" s="67"/>
      <c r="F60" s="87"/>
      <c r="G60" s="67"/>
      <c r="H60" s="67"/>
      <c r="I60" s="67"/>
      <c r="J60" s="70"/>
      <c r="K60" s="71"/>
      <c r="L60" s="75"/>
      <c r="M60" s="75"/>
      <c r="N60" s="72"/>
    </row>
    <row r="61" spans="1:14">
      <c r="A61" s="64"/>
      <c r="B61" s="65"/>
      <c r="C61" s="66"/>
      <c r="D61" s="67"/>
      <c r="E61" s="67"/>
      <c r="F61" s="87"/>
      <c r="G61" s="67"/>
      <c r="H61" s="67"/>
      <c r="I61" s="67"/>
      <c r="J61" s="70"/>
      <c r="K61" s="71"/>
      <c r="L61" s="75"/>
      <c r="M61" s="75"/>
      <c r="N61" s="72"/>
    </row>
    <row r="62" spans="1:14">
      <c r="A62" s="64"/>
      <c r="B62" s="65"/>
      <c r="C62" s="66"/>
      <c r="D62" s="67"/>
      <c r="E62" s="67"/>
      <c r="F62" s="87"/>
      <c r="G62" s="67"/>
      <c r="H62" s="67"/>
      <c r="I62" s="67"/>
      <c r="J62" s="70"/>
      <c r="K62" s="71"/>
      <c r="L62" s="75"/>
      <c r="M62" s="75"/>
      <c r="N62" s="72"/>
    </row>
    <row r="63" spans="1:14">
      <c r="A63" s="25" t="s">
        <v>76</v>
      </c>
      <c r="B63" s="7" t="s">
        <v>1</v>
      </c>
      <c r="C63" s="7" t="s">
        <v>284</v>
      </c>
      <c r="D63" s="27" t="s">
        <v>0</v>
      </c>
      <c r="E63" s="27" t="s">
        <v>3</v>
      </c>
      <c r="F63" s="27" t="s">
        <v>4</v>
      </c>
      <c r="G63" s="28" t="s">
        <v>5</v>
      </c>
      <c r="H63" s="27" t="s">
        <v>6</v>
      </c>
      <c r="I63" s="27" t="s">
        <v>7</v>
      </c>
      <c r="J63" s="27" t="s">
        <v>8</v>
      </c>
      <c r="K63" s="27" t="s">
        <v>393</v>
      </c>
      <c r="L63" s="73" t="s">
        <v>394</v>
      </c>
      <c r="M63" s="73" t="s">
        <v>395</v>
      </c>
      <c r="N63" s="29" t="s">
        <v>9</v>
      </c>
    </row>
    <row r="64" spans="1:14">
      <c r="A64" s="25" t="s">
        <v>82</v>
      </c>
      <c r="B64" s="7" t="s">
        <v>36</v>
      </c>
      <c r="C64" s="5" t="s">
        <v>47</v>
      </c>
      <c r="D64" s="8" t="str">
        <f>"PO1508060055"</f>
        <v>PO1508060055</v>
      </c>
      <c r="E64" s="8" t="str">
        <f>"9787802345713"</f>
        <v>9787802345713</v>
      </c>
      <c r="F64" s="21" t="s">
        <v>253</v>
      </c>
      <c r="G64" s="8" t="s">
        <v>252</v>
      </c>
      <c r="H64" s="9" t="s">
        <v>251</v>
      </c>
      <c r="I64" s="8" t="s">
        <v>250</v>
      </c>
      <c r="J64" s="10">
        <v>29</v>
      </c>
      <c r="K64" s="11">
        <v>18</v>
      </c>
      <c r="L64" s="74">
        <f t="shared" si="0"/>
        <v>522</v>
      </c>
      <c r="M64" s="74">
        <f t="shared" si="2"/>
        <v>417.6</v>
      </c>
      <c r="N64" s="12">
        <v>80</v>
      </c>
    </row>
    <row r="65" spans="1:14">
      <c r="A65" s="25" t="s">
        <v>82</v>
      </c>
      <c r="B65" s="7" t="s">
        <v>36</v>
      </c>
      <c r="C65" s="5" t="s">
        <v>47</v>
      </c>
      <c r="D65" s="8" t="str">
        <f>"PO1508060055"</f>
        <v>PO1508060055</v>
      </c>
      <c r="E65" s="8" t="str">
        <f>"9787561176689"</f>
        <v>9787561176689</v>
      </c>
      <c r="F65" s="21" t="s">
        <v>249</v>
      </c>
      <c r="G65" s="8" t="s">
        <v>178</v>
      </c>
      <c r="H65" s="9" t="s">
        <v>142</v>
      </c>
      <c r="I65" s="8" t="s">
        <v>248</v>
      </c>
      <c r="J65" s="10">
        <v>35</v>
      </c>
      <c r="K65" s="11">
        <v>18</v>
      </c>
      <c r="L65" s="74">
        <f t="shared" si="0"/>
        <v>630</v>
      </c>
      <c r="M65" s="74">
        <f t="shared" si="2"/>
        <v>504</v>
      </c>
      <c r="N65" s="12">
        <v>80</v>
      </c>
    </row>
    <row r="66" spans="1:14">
      <c r="A66" s="25" t="s">
        <v>79</v>
      </c>
      <c r="B66" s="7" t="s">
        <v>36</v>
      </c>
      <c r="C66" s="5" t="s">
        <v>47</v>
      </c>
      <c r="D66" s="8" t="str">
        <f>"PO1508060055"</f>
        <v>PO1508060055</v>
      </c>
      <c r="E66" s="8" t="str">
        <f>"9787300095257"</f>
        <v>9787300095257</v>
      </c>
      <c r="F66" s="21" t="s">
        <v>247</v>
      </c>
      <c r="G66" s="8" t="s">
        <v>246</v>
      </c>
      <c r="H66" s="9" t="s">
        <v>245</v>
      </c>
      <c r="I66" s="8" t="s">
        <v>244</v>
      </c>
      <c r="J66" s="10">
        <v>59</v>
      </c>
      <c r="K66" s="11">
        <v>18</v>
      </c>
      <c r="L66" s="74">
        <f t="shared" si="0"/>
        <v>1062</v>
      </c>
      <c r="M66" s="74">
        <f t="shared" si="2"/>
        <v>849.6</v>
      </c>
      <c r="N66" s="12">
        <v>80</v>
      </c>
    </row>
    <row r="67" spans="1:14">
      <c r="A67" s="25" t="s">
        <v>74</v>
      </c>
      <c r="B67" s="7" t="s">
        <v>36</v>
      </c>
      <c r="C67" s="5" t="s">
        <v>47</v>
      </c>
      <c r="D67" s="8" t="str">
        <f>"PO1508180116"</f>
        <v>PO1508180116</v>
      </c>
      <c r="E67" s="8" t="str">
        <f>"9787511316691"</f>
        <v>9787511316691</v>
      </c>
      <c r="F67" s="21" t="s">
        <v>121</v>
      </c>
      <c r="G67" s="8" t="s">
        <v>120</v>
      </c>
      <c r="H67" s="9" t="s">
        <v>119</v>
      </c>
      <c r="I67" s="8" t="s">
        <v>118</v>
      </c>
      <c r="J67" s="10">
        <v>29.8</v>
      </c>
      <c r="K67" s="11">
        <v>8</v>
      </c>
      <c r="L67" s="74">
        <f t="shared" si="0"/>
        <v>238.4</v>
      </c>
      <c r="M67" s="74">
        <f t="shared" si="2"/>
        <v>190.72000000000003</v>
      </c>
      <c r="N67" s="12">
        <v>80</v>
      </c>
    </row>
    <row r="68" spans="1:14">
      <c r="A68" s="48" t="s">
        <v>74</v>
      </c>
      <c r="B68" s="49" t="s">
        <v>36</v>
      </c>
      <c r="C68" s="50" t="s">
        <v>47</v>
      </c>
      <c r="D68" s="51" t="s">
        <v>421</v>
      </c>
      <c r="E68" s="51" t="s">
        <v>421</v>
      </c>
      <c r="F68" s="50" t="s">
        <v>428</v>
      </c>
      <c r="G68" s="51" t="s">
        <v>421</v>
      </c>
      <c r="H68" s="51" t="s">
        <v>421</v>
      </c>
      <c r="I68" s="51" t="s">
        <v>421</v>
      </c>
      <c r="J68" s="52">
        <v>3.6</v>
      </c>
      <c r="K68" s="53">
        <v>51</v>
      </c>
      <c r="L68" s="79">
        <f>J68*K68</f>
        <v>183.6</v>
      </c>
      <c r="M68" s="79">
        <f>L68*1</f>
        <v>183.6</v>
      </c>
      <c r="N68" s="54">
        <v>100</v>
      </c>
    </row>
    <row r="69" spans="1:14" s="90" customFormat="1">
      <c r="A69" s="152" t="s">
        <v>442</v>
      </c>
      <c r="B69" s="153"/>
      <c r="C69" s="153"/>
      <c r="D69" s="153"/>
      <c r="E69" s="153"/>
      <c r="F69" s="153"/>
      <c r="G69" s="153"/>
      <c r="H69" s="153"/>
      <c r="I69" s="153"/>
      <c r="J69" s="154"/>
      <c r="K69" s="11">
        <f>SUM(K64:K68)</f>
        <v>113</v>
      </c>
      <c r="L69" s="74">
        <f t="shared" ref="L69:M69" si="7">SUM(L64:L68)</f>
        <v>2636</v>
      </c>
      <c r="M69" s="74">
        <f t="shared" si="7"/>
        <v>2145.52</v>
      </c>
      <c r="N69" s="12"/>
    </row>
    <row r="70" spans="1:14" s="89" customFormat="1">
      <c r="A70" s="64"/>
      <c r="B70" s="65"/>
      <c r="C70" s="66"/>
      <c r="D70" s="67"/>
      <c r="E70" s="67"/>
      <c r="F70" s="66"/>
      <c r="G70" s="67"/>
      <c r="H70" s="67"/>
      <c r="I70" s="67"/>
      <c r="J70" s="70"/>
      <c r="K70" s="71"/>
      <c r="L70" s="75"/>
      <c r="M70" s="75"/>
      <c r="N70" s="72"/>
    </row>
    <row r="71" spans="1:14" s="89" customFormat="1" ht="14.25">
      <c r="A71" s="88" t="s">
        <v>444</v>
      </c>
      <c r="B71" s="65"/>
      <c r="C71" s="66"/>
      <c r="D71" s="67"/>
      <c r="E71" s="67"/>
      <c r="F71" s="66"/>
      <c r="G71" s="67"/>
      <c r="H71" s="67"/>
      <c r="I71" s="67"/>
      <c r="J71" s="70"/>
      <c r="K71" s="71"/>
      <c r="L71" s="75"/>
      <c r="M71" s="75"/>
      <c r="N71" s="72"/>
    </row>
    <row r="72" spans="1:14" s="89" customFormat="1" ht="14.25">
      <c r="A72" s="88" t="s">
        <v>443</v>
      </c>
      <c r="B72" s="65"/>
      <c r="C72" s="66"/>
      <c r="D72" s="67"/>
      <c r="E72" s="67"/>
      <c r="F72" s="66"/>
      <c r="G72" s="67"/>
      <c r="H72" s="67"/>
      <c r="I72" s="67"/>
      <c r="J72" s="70"/>
      <c r="K72" s="71"/>
      <c r="L72" s="75"/>
      <c r="M72" s="75"/>
      <c r="N72" s="72"/>
    </row>
    <row r="73" spans="1:14" s="89" customFormat="1">
      <c r="A73" s="64"/>
      <c r="B73" s="65"/>
      <c r="C73" s="66"/>
      <c r="D73" s="67"/>
      <c r="E73" s="67"/>
      <c r="F73" s="66"/>
      <c r="G73" s="67"/>
      <c r="H73" s="67"/>
      <c r="I73" s="67"/>
      <c r="J73" s="70"/>
      <c r="K73" s="71"/>
      <c r="L73" s="75"/>
      <c r="M73" s="75"/>
      <c r="N73" s="72"/>
    </row>
    <row r="74" spans="1:14" s="89" customFormat="1">
      <c r="A74" s="64"/>
      <c r="B74" s="65"/>
      <c r="C74" s="66"/>
      <c r="D74" s="67"/>
      <c r="E74" s="67"/>
      <c r="F74" s="66"/>
      <c r="G74" s="67"/>
      <c r="H74" s="67"/>
      <c r="I74" s="67"/>
      <c r="J74" s="70"/>
      <c r="K74" s="71"/>
      <c r="L74" s="75"/>
      <c r="M74" s="75"/>
      <c r="N74" s="72"/>
    </row>
    <row r="75" spans="1:14" s="89" customFormat="1">
      <c r="A75" s="64"/>
      <c r="B75" s="65"/>
      <c r="C75" s="66"/>
      <c r="D75" s="67"/>
      <c r="E75" s="67"/>
      <c r="F75" s="66"/>
      <c r="G75" s="67"/>
      <c r="H75" s="67"/>
      <c r="I75" s="67"/>
      <c r="J75" s="70"/>
      <c r="K75" s="71"/>
      <c r="L75" s="75"/>
      <c r="M75" s="75"/>
      <c r="N75" s="72"/>
    </row>
    <row r="76" spans="1:14" s="89" customFormat="1">
      <c r="A76" s="64"/>
      <c r="B76" s="65"/>
      <c r="C76" s="66"/>
      <c r="D76" s="67"/>
      <c r="E76" s="67"/>
      <c r="F76" s="66"/>
      <c r="G76" s="67"/>
      <c r="H76" s="67"/>
      <c r="I76" s="67"/>
      <c r="J76" s="70"/>
      <c r="K76" s="71"/>
      <c r="L76" s="75"/>
      <c r="M76" s="75"/>
      <c r="N76" s="72"/>
    </row>
    <row r="77" spans="1:14" s="89" customFormat="1">
      <c r="A77" s="64"/>
      <c r="B77" s="65"/>
      <c r="C77" s="66"/>
      <c r="D77" s="67"/>
      <c r="E77" s="67"/>
      <c r="F77" s="66"/>
      <c r="G77" s="67"/>
      <c r="H77" s="67"/>
      <c r="I77" s="67"/>
      <c r="J77" s="70"/>
      <c r="K77" s="71"/>
      <c r="L77" s="75"/>
      <c r="M77" s="75"/>
      <c r="N77" s="72"/>
    </row>
    <row r="78" spans="1:14" s="89" customFormat="1">
      <c r="A78" s="25" t="s">
        <v>76</v>
      </c>
      <c r="B78" s="7" t="s">
        <v>1</v>
      </c>
      <c r="C78" s="7" t="s">
        <v>284</v>
      </c>
      <c r="D78" s="27" t="s">
        <v>0</v>
      </c>
      <c r="E78" s="27" t="s">
        <v>3</v>
      </c>
      <c r="F78" s="27" t="s">
        <v>4</v>
      </c>
      <c r="G78" s="28" t="s">
        <v>5</v>
      </c>
      <c r="H78" s="27" t="s">
        <v>6</v>
      </c>
      <c r="I78" s="27" t="s">
        <v>7</v>
      </c>
      <c r="J78" s="27" t="s">
        <v>8</v>
      </c>
      <c r="K78" s="27" t="s">
        <v>393</v>
      </c>
      <c r="L78" s="73" t="s">
        <v>394</v>
      </c>
      <c r="M78" s="73" t="s">
        <v>395</v>
      </c>
      <c r="N78" s="29" t="s">
        <v>9</v>
      </c>
    </row>
    <row r="79" spans="1:14">
      <c r="A79" s="55" t="s">
        <v>79</v>
      </c>
      <c r="B79" s="56" t="s">
        <v>37</v>
      </c>
      <c r="C79" s="57" t="s">
        <v>32</v>
      </c>
      <c r="D79" s="58" t="str">
        <f>"PO1508060056"</f>
        <v>PO1508060056</v>
      </c>
      <c r="E79" s="58" t="str">
        <f>"9787564315078"</f>
        <v>9787564315078</v>
      </c>
      <c r="F79" s="59" t="s">
        <v>243</v>
      </c>
      <c r="G79" s="58" t="s">
        <v>242</v>
      </c>
      <c r="H79" s="60" t="s">
        <v>241</v>
      </c>
      <c r="I79" s="58" t="s">
        <v>240</v>
      </c>
      <c r="J79" s="61">
        <v>36</v>
      </c>
      <c r="K79" s="62">
        <v>12</v>
      </c>
      <c r="L79" s="76">
        <f t="shared" si="0"/>
        <v>432</v>
      </c>
      <c r="M79" s="76">
        <f t="shared" si="2"/>
        <v>345.6</v>
      </c>
      <c r="N79" s="63">
        <v>80</v>
      </c>
    </row>
    <row r="80" spans="1:14">
      <c r="A80" s="25" t="s">
        <v>82</v>
      </c>
      <c r="B80" s="7" t="s">
        <v>37</v>
      </c>
      <c r="C80" s="5" t="s">
        <v>32</v>
      </c>
      <c r="D80" s="8" t="str">
        <f>"PO1508060056"</f>
        <v>PO1508060056</v>
      </c>
      <c r="E80" s="8" t="str">
        <f>"9787121190322"</f>
        <v>9787121190322</v>
      </c>
      <c r="F80" s="21" t="s">
        <v>239</v>
      </c>
      <c r="G80" s="8" t="s">
        <v>187</v>
      </c>
      <c r="H80" s="9" t="s">
        <v>238</v>
      </c>
      <c r="I80" s="8" t="s">
        <v>237</v>
      </c>
      <c r="J80" s="10">
        <v>32</v>
      </c>
      <c r="K80" s="11">
        <v>10</v>
      </c>
      <c r="L80" s="74">
        <f t="shared" si="0"/>
        <v>320</v>
      </c>
      <c r="M80" s="74">
        <f t="shared" si="2"/>
        <v>256</v>
      </c>
      <c r="N80" s="12">
        <v>80</v>
      </c>
    </row>
    <row r="81" spans="1:14">
      <c r="A81" s="25" t="s">
        <v>82</v>
      </c>
      <c r="B81" s="7" t="s">
        <v>37</v>
      </c>
      <c r="C81" s="5" t="s">
        <v>32</v>
      </c>
      <c r="D81" s="8" t="str">
        <f>"PO1509010100"</f>
        <v>PO1509010100</v>
      </c>
      <c r="E81" s="8" t="str">
        <f>"9787564822156"</f>
        <v>9787564822156</v>
      </c>
      <c r="F81" s="21" t="s">
        <v>88</v>
      </c>
      <c r="G81" s="8" t="s">
        <v>87</v>
      </c>
      <c r="H81" s="9" t="s">
        <v>86</v>
      </c>
      <c r="I81" s="8" t="s">
        <v>85</v>
      </c>
      <c r="J81" s="10">
        <v>32</v>
      </c>
      <c r="K81" s="11">
        <v>10</v>
      </c>
      <c r="L81" s="74">
        <f t="shared" si="0"/>
        <v>320</v>
      </c>
      <c r="M81" s="74">
        <f t="shared" si="2"/>
        <v>256</v>
      </c>
      <c r="N81" s="12">
        <v>80</v>
      </c>
    </row>
    <row r="82" spans="1:14">
      <c r="A82" s="25" t="s">
        <v>74</v>
      </c>
      <c r="B82" s="7" t="s">
        <v>37</v>
      </c>
      <c r="C82" s="5" t="s">
        <v>32</v>
      </c>
      <c r="D82" s="8" t="s">
        <v>420</v>
      </c>
      <c r="E82" s="8" t="s">
        <v>420</v>
      </c>
      <c r="F82" s="42" t="s">
        <v>422</v>
      </c>
      <c r="G82" s="8" t="s">
        <v>420</v>
      </c>
      <c r="H82" s="9" t="s">
        <v>420</v>
      </c>
      <c r="I82" s="8" t="s">
        <v>421</v>
      </c>
      <c r="J82" s="10">
        <v>3.6</v>
      </c>
      <c r="K82" s="11">
        <v>43</v>
      </c>
      <c r="L82" s="74">
        <f t="shared" si="0"/>
        <v>154.80000000000001</v>
      </c>
      <c r="M82" s="74">
        <f>L82*1</f>
        <v>154.80000000000001</v>
      </c>
      <c r="N82" s="12">
        <v>100</v>
      </c>
    </row>
    <row r="83" spans="1:14">
      <c r="A83" s="152" t="s">
        <v>442</v>
      </c>
      <c r="B83" s="153"/>
      <c r="C83" s="153"/>
      <c r="D83" s="153"/>
      <c r="E83" s="153"/>
      <c r="F83" s="153"/>
      <c r="G83" s="153"/>
      <c r="H83" s="153"/>
      <c r="I83" s="153"/>
      <c r="J83" s="154"/>
      <c r="K83" s="53">
        <f>SUM(K79:K82)</f>
        <v>75</v>
      </c>
      <c r="L83" s="79">
        <f t="shared" ref="L83:M83" si="8">SUM(L79:L82)</f>
        <v>1226.8</v>
      </c>
      <c r="M83" s="79">
        <f t="shared" si="8"/>
        <v>1012.4000000000001</v>
      </c>
      <c r="N83" s="54"/>
    </row>
    <row r="84" spans="1:14">
      <c r="A84" s="64"/>
      <c r="B84" s="65"/>
      <c r="C84" s="66"/>
      <c r="D84" s="67"/>
      <c r="E84" s="67"/>
      <c r="F84" s="68"/>
      <c r="G84" s="67"/>
      <c r="H84" s="69"/>
      <c r="I84" s="67"/>
      <c r="J84" s="70"/>
      <c r="K84" s="71"/>
      <c r="L84" s="75"/>
      <c r="M84" s="75"/>
      <c r="N84" s="72"/>
    </row>
    <row r="85" spans="1:14" ht="14.25">
      <c r="A85" s="88" t="s">
        <v>444</v>
      </c>
      <c r="B85" s="65"/>
      <c r="C85" s="66"/>
      <c r="D85" s="67"/>
      <c r="E85" s="67"/>
      <c r="F85" s="68"/>
      <c r="G85" s="67"/>
      <c r="H85" s="69"/>
      <c r="I85" s="67"/>
      <c r="J85" s="70"/>
      <c r="K85" s="71"/>
      <c r="L85" s="75"/>
      <c r="M85" s="75"/>
      <c r="N85" s="72"/>
    </row>
    <row r="86" spans="1:14" ht="14.25">
      <c r="A86" s="88" t="s">
        <v>443</v>
      </c>
      <c r="B86" s="65"/>
      <c r="C86" s="66"/>
      <c r="D86" s="67"/>
      <c r="E86" s="67"/>
      <c r="F86" s="68"/>
      <c r="G86" s="67"/>
      <c r="H86" s="69"/>
      <c r="I86" s="67"/>
      <c r="J86" s="70"/>
      <c r="K86" s="71"/>
      <c r="L86" s="75"/>
      <c r="M86" s="75"/>
      <c r="N86" s="72"/>
    </row>
    <row r="87" spans="1:14">
      <c r="A87" s="64"/>
      <c r="B87" s="65"/>
      <c r="C87" s="66"/>
      <c r="D87" s="67"/>
      <c r="E87" s="67"/>
      <c r="F87" s="68"/>
      <c r="G87" s="67"/>
      <c r="H87" s="69"/>
      <c r="I87" s="67"/>
      <c r="J87" s="70"/>
      <c r="K87" s="71"/>
      <c r="L87" s="75"/>
      <c r="M87" s="75"/>
      <c r="N87" s="72"/>
    </row>
    <row r="88" spans="1:14">
      <c r="A88" s="64"/>
      <c r="B88" s="65"/>
      <c r="C88" s="66"/>
      <c r="D88" s="67"/>
      <c r="E88" s="67"/>
      <c r="F88" s="68"/>
      <c r="G88" s="67"/>
      <c r="H88" s="69"/>
      <c r="I88" s="67"/>
      <c r="J88" s="70"/>
      <c r="K88" s="71"/>
      <c r="L88" s="75"/>
      <c r="M88" s="75"/>
      <c r="N88" s="72"/>
    </row>
    <row r="89" spans="1:14">
      <c r="A89" s="64"/>
      <c r="B89" s="65"/>
      <c r="C89" s="66"/>
      <c r="D89" s="67"/>
      <c r="E89" s="67"/>
      <c r="F89" s="68"/>
      <c r="G89" s="67"/>
      <c r="H89" s="69"/>
      <c r="I89" s="67"/>
      <c r="J89" s="70"/>
      <c r="K89" s="71"/>
      <c r="L89" s="75"/>
      <c r="M89" s="75"/>
      <c r="N89" s="72"/>
    </row>
    <row r="90" spans="1:14">
      <c r="A90" s="64"/>
      <c r="B90" s="65"/>
      <c r="C90" s="66"/>
      <c r="D90" s="67"/>
      <c r="E90" s="67"/>
      <c r="F90" s="68"/>
      <c r="G90" s="67"/>
      <c r="H90" s="69"/>
      <c r="I90" s="67"/>
      <c r="J90" s="70"/>
      <c r="K90" s="71"/>
      <c r="L90" s="75"/>
      <c r="M90" s="75"/>
      <c r="N90" s="72"/>
    </row>
    <row r="91" spans="1:14">
      <c r="A91" s="64"/>
      <c r="B91" s="65"/>
      <c r="C91" s="66"/>
      <c r="D91" s="67"/>
      <c r="E91" s="67"/>
      <c r="F91" s="68"/>
      <c r="G91" s="67"/>
      <c r="H91" s="69"/>
      <c r="I91" s="67"/>
      <c r="J91" s="70"/>
      <c r="K91" s="71"/>
      <c r="L91" s="75"/>
      <c r="M91" s="75"/>
      <c r="N91" s="72"/>
    </row>
    <row r="92" spans="1:14">
      <c r="A92" s="64"/>
      <c r="B92" s="65"/>
      <c r="C92" s="66"/>
      <c r="D92" s="67"/>
      <c r="E92" s="67"/>
      <c r="F92" s="68"/>
      <c r="G92" s="67"/>
      <c r="H92" s="69"/>
      <c r="I92" s="67"/>
      <c r="J92" s="70"/>
      <c r="K92" s="71"/>
      <c r="L92" s="75"/>
      <c r="M92" s="75"/>
      <c r="N92" s="72"/>
    </row>
    <row r="93" spans="1:14">
      <c r="A93" s="25" t="s">
        <v>76</v>
      </c>
      <c r="B93" s="7" t="s">
        <v>1</v>
      </c>
      <c r="C93" s="7" t="s">
        <v>284</v>
      </c>
      <c r="D93" s="27" t="s">
        <v>0</v>
      </c>
      <c r="E93" s="27" t="s">
        <v>3</v>
      </c>
      <c r="F93" s="27" t="s">
        <v>4</v>
      </c>
      <c r="G93" s="28" t="s">
        <v>5</v>
      </c>
      <c r="H93" s="27" t="s">
        <v>6</v>
      </c>
      <c r="I93" s="27" t="s">
        <v>7</v>
      </c>
      <c r="J93" s="27" t="s">
        <v>8</v>
      </c>
      <c r="K93" s="27" t="s">
        <v>393</v>
      </c>
      <c r="L93" s="73" t="s">
        <v>394</v>
      </c>
      <c r="M93" s="73" t="s">
        <v>395</v>
      </c>
      <c r="N93" s="29" t="s">
        <v>9</v>
      </c>
    </row>
    <row r="94" spans="1:14">
      <c r="A94" s="25" t="s">
        <v>79</v>
      </c>
      <c r="B94" s="7" t="s">
        <v>38</v>
      </c>
      <c r="C94" s="5" t="s">
        <v>33</v>
      </c>
      <c r="D94" s="8" t="str">
        <f>"PO1508060057"</f>
        <v>PO1508060057</v>
      </c>
      <c r="E94" s="8" t="str">
        <f>"9787564315078"</f>
        <v>9787564315078</v>
      </c>
      <c r="F94" s="21" t="s">
        <v>243</v>
      </c>
      <c r="G94" s="8" t="s">
        <v>242</v>
      </c>
      <c r="H94" s="9" t="s">
        <v>241</v>
      </c>
      <c r="I94" s="8" t="s">
        <v>240</v>
      </c>
      <c r="J94" s="10">
        <v>36</v>
      </c>
      <c r="K94" s="11">
        <v>10</v>
      </c>
      <c r="L94" s="74">
        <f t="shared" si="0"/>
        <v>360</v>
      </c>
      <c r="M94" s="74">
        <f t="shared" si="2"/>
        <v>288</v>
      </c>
      <c r="N94" s="12">
        <v>80</v>
      </c>
    </row>
    <row r="95" spans="1:14">
      <c r="A95" s="25" t="s">
        <v>82</v>
      </c>
      <c r="B95" s="7" t="s">
        <v>38</v>
      </c>
      <c r="C95" s="5" t="s">
        <v>33</v>
      </c>
      <c r="D95" s="8" t="str">
        <f>"PO1508060057"</f>
        <v>PO1508060057</v>
      </c>
      <c r="E95" s="8" t="str">
        <f>"9787121190322"</f>
        <v>9787121190322</v>
      </c>
      <c r="F95" s="21" t="s">
        <v>239</v>
      </c>
      <c r="G95" s="8" t="s">
        <v>187</v>
      </c>
      <c r="H95" s="9" t="s">
        <v>238</v>
      </c>
      <c r="I95" s="8" t="s">
        <v>237</v>
      </c>
      <c r="J95" s="10">
        <v>32</v>
      </c>
      <c r="K95" s="11">
        <v>4</v>
      </c>
      <c r="L95" s="74">
        <f t="shared" si="0"/>
        <v>128</v>
      </c>
      <c r="M95" s="74">
        <f t="shared" si="2"/>
        <v>102.4</v>
      </c>
      <c r="N95" s="12">
        <v>80</v>
      </c>
    </row>
    <row r="96" spans="1:14">
      <c r="A96" s="25" t="s">
        <v>82</v>
      </c>
      <c r="B96" s="7" t="s">
        <v>38</v>
      </c>
      <c r="C96" s="5" t="s">
        <v>33</v>
      </c>
      <c r="D96" s="8" t="str">
        <f>"PO1509010101"</f>
        <v>PO1509010101</v>
      </c>
      <c r="E96" s="8" t="str">
        <f>"9787564822156"</f>
        <v>9787564822156</v>
      </c>
      <c r="F96" s="21" t="s">
        <v>88</v>
      </c>
      <c r="G96" s="8" t="s">
        <v>87</v>
      </c>
      <c r="H96" s="9" t="s">
        <v>86</v>
      </c>
      <c r="I96" s="8" t="s">
        <v>85</v>
      </c>
      <c r="J96" s="10">
        <v>32</v>
      </c>
      <c r="K96" s="11">
        <v>10</v>
      </c>
      <c r="L96" s="74">
        <f t="shared" si="0"/>
        <v>320</v>
      </c>
      <c r="M96" s="74">
        <f t="shared" si="2"/>
        <v>256</v>
      </c>
      <c r="N96" s="12">
        <v>80</v>
      </c>
    </row>
    <row r="97" spans="1:14">
      <c r="A97" s="25" t="s">
        <v>74</v>
      </c>
      <c r="B97" s="7" t="s">
        <v>38</v>
      </c>
      <c r="C97" s="5" t="s">
        <v>33</v>
      </c>
      <c r="D97" s="8" t="s">
        <v>420</v>
      </c>
      <c r="E97" s="8" t="s">
        <v>420</v>
      </c>
      <c r="F97" s="42" t="s">
        <v>422</v>
      </c>
      <c r="G97" s="8" t="s">
        <v>420</v>
      </c>
      <c r="H97" s="9" t="s">
        <v>420</v>
      </c>
      <c r="I97" s="8" t="s">
        <v>421</v>
      </c>
      <c r="J97" s="10">
        <v>3.6</v>
      </c>
      <c r="K97" s="11">
        <v>52</v>
      </c>
      <c r="L97" s="74">
        <f t="shared" si="0"/>
        <v>187.20000000000002</v>
      </c>
      <c r="M97" s="74">
        <f>L97*1</f>
        <v>187.20000000000002</v>
      </c>
      <c r="N97" s="12">
        <v>100</v>
      </c>
    </row>
    <row r="98" spans="1:14">
      <c r="A98" s="152" t="s">
        <v>442</v>
      </c>
      <c r="B98" s="153"/>
      <c r="C98" s="153"/>
      <c r="D98" s="153"/>
      <c r="E98" s="153"/>
      <c r="F98" s="153"/>
      <c r="G98" s="153"/>
      <c r="H98" s="153"/>
      <c r="I98" s="153"/>
      <c r="J98" s="154"/>
      <c r="K98" s="11">
        <f>SUM(K94:K97)</f>
        <v>76</v>
      </c>
      <c r="L98" s="74">
        <f t="shared" ref="L98:M98" si="9">SUM(L94:L97)</f>
        <v>995.2</v>
      </c>
      <c r="M98" s="74">
        <f t="shared" si="9"/>
        <v>833.6</v>
      </c>
      <c r="N98" s="12"/>
    </row>
    <row r="99" spans="1:14">
      <c r="A99" s="64"/>
      <c r="B99" s="65"/>
      <c r="C99" s="66"/>
      <c r="D99" s="67"/>
      <c r="E99" s="67"/>
      <c r="F99" s="68"/>
      <c r="G99" s="67"/>
      <c r="H99" s="69"/>
      <c r="I99" s="67"/>
      <c r="J99" s="70"/>
      <c r="K99" s="71"/>
      <c r="L99" s="75"/>
      <c r="M99" s="75"/>
      <c r="N99" s="72"/>
    </row>
    <row r="100" spans="1:14" ht="14.25">
      <c r="A100" s="88" t="s">
        <v>444</v>
      </c>
      <c r="B100" s="65"/>
      <c r="C100" s="66"/>
      <c r="D100" s="67"/>
      <c r="E100" s="67"/>
      <c r="F100" s="68"/>
      <c r="G100" s="67"/>
      <c r="H100" s="69"/>
      <c r="I100" s="67"/>
      <c r="J100" s="70"/>
      <c r="K100" s="71"/>
      <c r="L100" s="75"/>
      <c r="M100" s="75"/>
      <c r="N100" s="72"/>
    </row>
    <row r="101" spans="1:14" ht="14.25">
      <c r="A101" s="88" t="s">
        <v>443</v>
      </c>
      <c r="B101" s="65"/>
      <c r="C101" s="66"/>
      <c r="D101" s="67"/>
      <c r="E101" s="67"/>
      <c r="F101" s="68"/>
      <c r="G101" s="67"/>
      <c r="H101" s="69"/>
      <c r="I101" s="67"/>
      <c r="J101" s="70"/>
      <c r="K101" s="71"/>
      <c r="L101" s="75"/>
      <c r="M101" s="75"/>
      <c r="N101" s="72"/>
    </row>
    <row r="102" spans="1:14">
      <c r="A102" s="64"/>
      <c r="B102" s="65"/>
      <c r="C102" s="66"/>
      <c r="D102" s="67"/>
      <c r="E102" s="67"/>
      <c r="F102" s="68"/>
      <c r="G102" s="67"/>
      <c r="H102" s="69"/>
      <c r="I102" s="67"/>
      <c r="J102" s="70"/>
      <c r="K102" s="71"/>
      <c r="L102" s="75"/>
      <c r="M102" s="75"/>
      <c r="N102" s="72"/>
    </row>
    <row r="103" spans="1:14">
      <c r="A103" s="64"/>
      <c r="B103" s="65"/>
      <c r="C103" s="66"/>
      <c r="D103" s="67"/>
      <c r="E103" s="67"/>
      <c r="F103" s="68"/>
      <c r="G103" s="67"/>
      <c r="H103" s="69"/>
      <c r="I103" s="67"/>
      <c r="J103" s="70"/>
      <c r="K103" s="71"/>
      <c r="L103" s="75"/>
      <c r="M103" s="75"/>
      <c r="N103" s="72"/>
    </row>
    <row r="104" spans="1:14">
      <c r="A104" s="64"/>
      <c r="B104" s="65"/>
      <c r="C104" s="66"/>
      <c r="D104" s="67"/>
      <c r="E104" s="67"/>
      <c r="F104" s="68"/>
      <c r="G104" s="67"/>
      <c r="H104" s="69"/>
      <c r="I104" s="67"/>
      <c r="J104" s="70"/>
      <c r="K104" s="71"/>
      <c r="L104" s="75"/>
      <c r="M104" s="75"/>
      <c r="N104" s="72"/>
    </row>
    <row r="105" spans="1:14">
      <c r="A105" s="64"/>
      <c r="B105" s="65"/>
      <c r="C105" s="66"/>
      <c r="D105" s="67"/>
      <c r="E105" s="67"/>
      <c r="F105" s="68"/>
      <c r="G105" s="67"/>
      <c r="H105" s="69"/>
      <c r="I105" s="67"/>
      <c r="J105" s="70"/>
      <c r="K105" s="71"/>
      <c r="L105" s="75"/>
      <c r="M105" s="75"/>
      <c r="N105" s="72"/>
    </row>
    <row r="106" spans="1:14">
      <c r="A106" s="25" t="s">
        <v>76</v>
      </c>
      <c r="B106" s="7" t="s">
        <v>1</v>
      </c>
      <c r="C106" s="7" t="s">
        <v>284</v>
      </c>
      <c r="D106" s="27" t="s">
        <v>0</v>
      </c>
      <c r="E106" s="27" t="s">
        <v>3</v>
      </c>
      <c r="F106" s="27" t="s">
        <v>4</v>
      </c>
      <c r="G106" s="28" t="s">
        <v>5</v>
      </c>
      <c r="H106" s="27" t="s">
        <v>6</v>
      </c>
      <c r="I106" s="27" t="s">
        <v>7</v>
      </c>
      <c r="J106" s="27" t="s">
        <v>8</v>
      </c>
      <c r="K106" s="27" t="s">
        <v>393</v>
      </c>
      <c r="L106" s="73" t="s">
        <v>394</v>
      </c>
      <c r="M106" s="73" t="s">
        <v>395</v>
      </c>
      <c r="N106" s="29" t="s">
        <v>9</v>
      </c>
    </row>
    <row r="107" spans="1:14">
      <c r="A107" s="25" t="s">
        <v>79</v>
      </c>
      <c r="B107" s="7" t="s">
        <v>39</v>
      </c>
      <c r="C107" s="5" t="s">
        <v>34</v>
      </c>
      <c r="D107" s="8" t="str">
        <f>"PO1508060058"</f>
        <v>PO1508060058</v>
      </c>
      <c r="E107" s="8" t="str">
        <f>"9787564315078"</f>
        <v>9787564315078</v>
      </c>
      <c r="F107" s="21" t="s">
        <v>243</v>
      </c>
      <c r="G107" s="8" t="s">
        <v>242</v>
      </c>
      <c r="H107" s="9" t="s">
        <v>241</v>
      </c>
      <c r="I107" s="8" t="s">
        <v>240</v>
      </c>
      <c r="J107" s="10">
        <v>36</v>
      </c>
      <c r="K107" s="11">
        <v>27</v>
      </c>
      <c r="L107" s="74">
        <f t="shared" si="0"/>
        <v>972</v>
      </c>
      <c r="M107" s="74">
        <f t="shared" si="2"/>
        <v>777.6</v>
      </c>
      <c r="N107" s="12">
        <v>80</v>
      </c>
    </row>
    <row r="108" spans="1:14">
      <c r="A108" s="25" t="s">
        <v>82</v>
      </c>
      <c r="B108" s="7" t="s">
        <v>39</v>
      </c>
      <c r="C108" s="5" t="s">
        <v>34</v>
      </c>
      <c r="D108" s="8" t="str">
        <f>"PO1508060058"</f>
        <v>PO1508060058</v>
      </c>
      <c r="E108" s="8" t="str">
        <f>"9787121190322"</f>
        <v>9787121190322</v>
      </c>
      <c r="F108" s="21" t="s">
        <v>239</v>
      </c>
      <c r="G108" s="8" t="s">
        <v>187</v>
      </c>
      <c r="H108" s="9" t="s">
        <v>238</v>
      </c>
      <c r="I108" s="8" t="s">
        <v>237</v>
      </c>
      <c r="J108" s="10">
        <v>32</v>
      </c>
      <c r="K108" s="11">
        <v>13</v>
      </c>
      <c r="L108" s="74">
        <f t="shared" si="0"/>
        <v>416</v>
      </c>
      <c r="M108" s="74">
        <f t="shared" si="2"/>
        <v>332.8</v>
      </c>
      <c r="N108" s="12">
        <v>80</v>
      </c>
    </row>
    <row r="109" spans="1:14">
      <c r="A109" s="25" t="s">
        <v>82</v>
      </c>
      <c r="B109" s="7" t="s">
        <v>39</v>
      </c>
      <c r="C109" s="5" t="s">
        <v>34</v>
      </c>
      <c r="D109" s="8" t="str">
        <f>"PO1509010102"</f>
        <v>PO1509010102</v>
      </c>
      <c r="E109" s="8" t="str">
        <f>"9787564822156"</f>
        <v>9787564822156</v>
      </c>
      <c r="F109" s="21" t="s">
        <v>88</v>
      </c>
      <c r="G109" s="8" t="s">
        <v>87</v>
      </c>
      <c r="H109" s="9" t="s">
        <v>86</v>
      </c>
      <c r="I109" s="8" t="s">
        <v>85</v>
      </c>
      <c r="J109" s="10">
        <v>32</v>
      </c>
      <c r="K109" s="11">
        <v>27</v>
      </c>
      <c r="L109" s="74">
        <f t="shared" si="0"/>
        <v>864</v>
      </c>
      <c r="M109" s="74">
        <f t="shared" si="2"/>
        <v>691.2</v>
      </c>
      <c r="N109" s="12">
        <v>80</v>
      </c>
    </row>
    <row r="110" spans="1:14">
      <c r="A110" s="25" t="s">
        <v>74</v>
      </c>
      <c r="B110" s="7" t="s">
        <v>39</v>
      </c>
      <c r="C110" s="5" t="s">
        <v>34</v>
      </c>
      <c r="D110" s="8" t="s">
        <v>420</v>
      </c>
      <c r="E110" s="8" t="s">
        <v>420</v>
      </c>
      <c r="F110" s="42" t="s">
        <v>422</v>
      </c>
      <c r="G110" s="8" t="s">
        <v>420</v>
      </c>
      <c r="H110" s="9" t="s">
        <v>420</v>
      </c>
      <c r="I110" s="8" t="s">
        <v>421</v>
      </c>
      <c r="J110" s="10">
        <v>3.6</v>
      </c>
      <c r="K110" s="11">
        <v>53</v>
      </c>
      <c r="L110" s="74">
        <f>J110*K110</f>
        <v>190.8</v>
      </c>
      <c r="M110" s="74">
        <f>L110*1</f>
        <v>190.8</v>
      </c>
      <c r="N110" s="12">
        <v>100</v>
      </c>
    </row>
    <row r="111" spans="1:14">
      <c r="A111" s="152" t="s">
        <v>442</v>
      </c>
      <c r="B111" s="153"/>
      <c r="C111" s="153"/>
      <c r="D111" s="153"/>
      <c r="E111" s="153"/>
      <c r="F111" s="153"/>
      <c r="G111" s="153"/>
      <c r="H111" s="153"/>
      <c r="I111" s="153"/>
      <c r="J111" s="154"/>
      <c r="K111" s="11">
        <f>SUM(K107:K110)</f>
        <v>120</v>
      </c>
      <c r="L111" s="74">
        <f t="shared" ref="L111:M111" si="10">SUM(L107:L110)</f>
        <v>2442.8000000000002</v>
      </c>
      <c r="M111" s="74">
        <f t="shared" si="10"/>
        <v>1992.4</v>
      </c>
      <c r="N111" s="12"/>
    </row>
    <row r="112" spans="1:14" ht="14.25">
      <c r="A112" s="88" t="s">
        <v>444</v>
      </c>
      <c r="B112" s="65"/>
      <c r="C112" s="66"/>
      <c r="D112" s="67"/>
      <c r="E112" s="67"/>
      <c r="F112" s="95"/>
      <c r="G112" s="67"/>
      <c r="H112" s="69"/>
      <c r="I112" s="67"/>
      <c r="J112" s="70"/>
      <c r="K112" s="71"/>
      <c r="L112" s="75"/>
      <c r="M112" s="75"/>
      <c r="N112" s="72"/>
    </row>
    <row r="113" spans="1:14" ht="14.25">
      <c r="A113" s="88" t="s">
        <v>443</v>
      </c>
      <c r="B113" s="65"/>
      <c r="C113" s="66"/>
      <c r="D113" s="67"/>
      <c r="E113" s="67"/>
      <c r="F113" s="95"/>
      <c r="G113" s="67"/>
      <c r="H113" s="69"/>
      <c r="I113" s="67"/>
      <c r="J113" s="70"/>
      <c r="K113" s="71"/>
      <c r="L113" s="75"/>
      <c r="M113" s="75"/>
      <c r="N113" s="72"/>
    </row>
    <row r="114" spans="1:14">
      <c r="A114" s="64"/>
      <c r="B114" s="65"/>
      <c r="C114" s="66"/>
      <c r="D114" s="67"/>
      <c r="E114" s="67"/>
      <c r="F114" s="95"/>
      <c r="G114" s="67"/>
      <c r="H114" s="69"/>
      <c r="I114" s="67"/>
      <c r="J114" s="70"/>
      <c r="K114" s="71"/>
      <c r="L114" s="75"/>
      <c r="M114" s="75"/>
      <c r="N114" s="72"/>
    </row>
    <row r="115" spans="1:14">
      <c r="A115" s="64"/>
      <c r="B115" s="65"/>
      <c r="C115" s="66"/>
      <c r="D115" s="67"/>
      <c r="E115" s="67"/>
      <c r="F115" s="95"/>
      <c r="G115" s="67"/>
      <c r="H115" s="69"/>
      <c r="I115" s="67"/>
      <c r="J115" s="70"/>
      <c r="K115" s="71"/>
      <c r="L115" s="75"/>
      <c r="M115" s="75"/>
      <c r="N115" s="72"/>
    </row>
    <row r="116" spans="1:14">
      <c r="A116" s="64"/>
      <c r="B116" s="65"/>
      <c r="C116" s="66"/>
      <c r="D116" s="67"/>
      <c r="E116" s="67"/>
      <c r="F116" s="95"/>
      <c r="G116" s="67"/>
      <c r="H116" s="69"/>
      <c r="I116" s="67"/>
      <c r="J116" s="70"/>
      <c r="K116" s="71"/>
      <c r="L116" s="75"/>
      <c r="M116" s="75"/>
      <c r="N116" s="72"/>
    </row>
    <row r="117" spans="1:14">
      <c r="A117" s="64"/>
      <c r="B117" s="65"/>
      <c r="C117" s="66"/>
      <c r="D117" s="67"/>
      <c r="E117" s="67"/>
      <c r="F117" s="95"/>
      <c r="G117" s="67"/>
      <c r="H117" s="69"/>
      <c r="I117" s="67"/>
      <c r="J117" s="70"/>
      <c r="K117" s="71"/>
      <c r="L117" s="75"/>
      <c r="M117" s="75"/>
      <c r="N117" s="72"/>
    </row>
    <row r="118" spans="1:14">
      <c r="A118" s="25" t="s">
        <v>76</v>
      </c>
      <c r="B118" s="7" t="s">
        <v>1</v>
      </c>
      <c r="C118" s="7" t="s">
        <v>284</v>
      </c>
      <c r="D118" s="27" t="s">
        <v>0</v>
      </c>
      <c r="E118" s="27" t="s">
        <v>3</v>
      </c>
      <c r="F118" s="27" t="s">
        <v>4</v>
      </c>
      <c r="G118" s="28" t="s">
        <v>5</v>
      </c>
      <c r="H118" s="27" t="s">
        <v>6</v>
      </c>
      <c r="I118" s="27" t="s">
        <v>7</v>
      </c>
      <c r="J118" s="27" t="s">
        <v>8</v>
      </c>
      <c r="K118" s="27" t="s">
        <v>393</v>
      </c>
      <c r="L118" s="73" t="s">
        <v>394</v>
      </c>
      <c r="M118" s="73" t="s">
        <v>395</v>
      </c>
      <c r="N118" s="29" t="s">
        <v>9</v>
      </c>
    </row>
    <row r="119" spans="1:14">
      <c r="A119" s="25" t="s">
        <v>320</v>
      </c>
      <c r="B119" s="25" t="s">
        <v>360</v>
      </c>
      <c r="C119" s="2" t="s">
        <v>361</v>
      </c>
      <c r="D119" s="8" t="str">
        <f>"PO1510090043"</f>
        <v>PO1510090043</v>
      </c>
      <c r="E119" s="8" t="str">
        <f>"9787802498596"</f>
        <v>9787802498596</v>
      </c>
      <c r="F119" s="21" t="s">
        <v>356</v>
      </c>
      <c r="G119" s="8" t="s">
        <v>357</v>
      </c>
      <c r="H119" s="9" t="s">
        <v>358</v>
      </c>
      <c r="I119" s="8" t="s">
        <v>359</v>
      </c>
      <c r="J119" s="10">
        <v>174</v>
      </c>
      <c r="K119" s="11">
        <v>21</v>
      </c>
      <c r="L119" s="74">
        <f t="shared" si="0"/>
        <v>3654</v>
      </c>
      <c r="M119" s="74">
        <f t="shared" si="2"/>
        <v>2923.2000000000003</v>
      </c>
      <c r="N119" s="12">
        <v>80</v>
      </c>
    </row>
    <row r="120" spans="1:14">
      <c r="A120" s="25" t="s">
        <v>74</v>
      </c>
      <c r="B120" s="25" t="s">
        <v>360</v>
      </c>
      <c r="C120" s="2" t="s">
        <v>361</v>
      </c>
      <c r="D120" s="8" t="s">
        <v>420</v>
      </c>
      <c r="E120" s="8" t="s">
        <v>420</v>
      </c>
      <c r="F120" s="44" t="s">
        <v>425</v>
      </c>
      <c r="G120" s="8" t="s">
        <v>420</v>
      </c>
      <c r="H120" s="9" t="s">
        <v>420</v>
      </c>
      <c r="I120" s="8" t="s">
        <v>421</v>
      </c>
      <c r="J120" s="10">
        <v>4</v>
      </c>
      <c r="K120" s="11">
        <v>45</v>
      </c>
      <c r="L120" s="74">
        <f t="shared" si="0"/>
        <v>180</v>
      </c>
      <c r="M120" s="74">
        <f>L120*1</f>
        <v>180</v>
      </c>
      <c r="N120" s="12">
        <v>100</v>
      </c>
    </row>
    <row r="121" spans="1:14">
      <c r="A121" s="152" t="s">
        <v>442</v>
      </c>
      <c r="B121" s="153"/>
      <c r="C121" s="153"/>
      <c r="D121" s="153"/>
      <c r="E121" s="153"/>
      <c r="F121" s="153"/>
      <c r="G121" s="153"/>
      <c r="H121" s="153"/>
      <c r="I121" s="153"/>
      <c r="J121" s="154"/>
      <c r="K121" s="11">
        <f>SUM(K119:K120)</f>
        <v>66</v>
      </c>
      <c r="L121" s="74">
        <f t="shared" ref="L121:M121" si="11">SUM(L119:L120)</f>
        <v>3834</v>
      </c>
      <c r="M121" s="74">
        <f t="shared" si="11"/>
        <v>3103.2000000000003</v>
      </c>
      <c r="N121" s="12"/>
    </row>
    <row r="122" spans="1:14" ht="14.25">
      <c r="A122" s="88" t="s">
        <v>444</v>
      </c>
      <c r="B122" s="64"/>
      <c r="C122" s="96"/>
      <c r="D122" s="67"/>
      <c r="E122" s="67"/>
      <c r="F122" s="97"/>
      <c r="G122" s="67"/>
      <c r="H122" s="69"/>
      <c r="I122" s="67"/>
      <c r="J122" s="70"/>
      <c r="K122" s="71"/>
      <c r="L122" s="75"/>
      <c r="M122" s="75"/>
      <c r="N122" s="72"/>
    </row>
    <row r="123" spans="1:14" ht="14.25">
      <c r="A123" s="88" t="s">
        <v>443</v>
      </c>
      <c r="B123" s="64"/>
      <c r="C123" s="96"/>
      <c r="D123" s="67"/>
      <c r="E123" s="67"/>
      <c r="F123" s="97"/>
      <c r="G123" s="67"/>
      <c r="H123" s="69"/>
      <c r="I123" s="67"/>
      <c r="J123" s="70"/>
      <c r="K123" s="71"/>
      <c r="L123" s="75"/>
      <c r="M123" s="75"/>
      <c r="N123" s="72"/>
    </row>
    <row r="124" spans="1:14">
      <c r="A124" s="64"/>
      <c r="B124" s="64"/>
      <c r="C124" s="96"/>
      <c r="D124" s="67"/>
      <c r="E124" s="67"/>
      <c r="F124" s="97"/>
      <c r="G124" s="67"/>
      <c r="H124" s="69"/>
      <c r="I124" s="67"/>
      <c r="J124" s="70"/>
      <c r="K124" s="71"/>
      <c r="L124" s="75"/>
      <c r="M124" s="75"/>
      <c r="N124" s="72"/>
    </row>
    <row r="125" spans="1:14">
      <c r="A125" s="64"/>
      <c r="B125" s="64"/>
      <c r="C125" s="96"/>
      <c r="D125" s="67"/>
      <c r="E125" s="67"/>
      <c r="F125" s="97"/>
      <c r="G125" s="67"/>
      <c r="H125" s="69"/>
      <c r="I125" s="67"/>
      <c r="J125" s="70"/>
      <c r="K125" s="71"/>
      <c r="L125" s="75"/>
      <c r="M125" s="75"/>
      <c r="N125" s="72"/>
    </row>
    <row r="126" spans="1:14">
      <c r="A126" s="64"/>
      <c r="B126" s="64"/>
      <c r="C126" s="96"/>
      <c r="D126" s="67"/>
      <c r="E126" s="67"/>
      <c r="F126" s="97"/>
      <c r="G126" s="67"/>
      <c r="H126" s="69"/>
      <c r="I126" s="67"/>
      <c r="J126" s="70"/>
      <c r="K126" s="71"/>
      <c r="L126" s="75"/>
      <c r="M126" s="75"/>
      <c r="N126" s="72"/>
    </row>
    <row r="127" spans="1:14">
      <c r="A127" s="64"/>
      <c r="B127" s="64"/>
      <c r="C127" s="96"/>
      <c r="D127" s="67"/>
      <c r="E127" s="67"/>
      <c r="F127" s="97"/>
      <c r="G127" s="67"/>
      <c r="H127" s="69"/>
      <c r="I127" s="67"/>
      <c r="J127" s="70"/>
      <c r="K127" s="71"/>
      <c r="L127" s="75"/>
      <c r="M127" s="75"/>
      <c r="N127" s="72"/>
    </row>
    <row r="128" spans="1:14">
      <c r="A128" s="25" t="s">
        <v>76</v>
      </c>
      <c r="B128" s="7" t="s">
        <v>1</v>
      </c>
      <c r="C128" s="7" t="s">
        <v>284</v>
      </c>
      <c r="D128" s="27" t="s">
        <v>0</v>
      </c>
      <c r="E128" s="27" t="s">
        <v>3</v>
      </c>
      <c r="F128" s="27" t="s">
        <v>4</v>
      </c>
      <c r="G128" s="28" t="s">
        <v>5</v>
      </c>
      <c r="H128" s="27" t="s">
        <v>6</v>
      </c>
      <c r="I128" s="27" t="s">
        <v>7</v>
      </c>
      <c r="J128" s="27" t="s">
        <v>8</v>
      </c>
      <c r="K128" s="27" t="s">
        <v>393</v>
      </c>
      <c r="L128" s="73" t="s">
        <v>394</v>
      </c>
      <c r="M128" s="73" t="s">
        <v>395</v>
      </c>
      <c r="N128" s="29" t="s">
        <v>9</v>
      </c>
    </row>
    <row r="129" spans="1:14">
      <c r="A129" s="25" t="s">
        <v>320</v>
      </c>
      <c r="B129" s="25" t="s">
        <v>362</v>
      </c>
      <c r="C129" s="2" t="s">
        <v>363</v>
      </c>
      <c r="D129" s="8" t="str">
        <f>"PO1510090044"</f>
        <v>PO1510090044</v>
      </c>
      <c r="E129" s="8" t="str">
        <f>"9787802498596"</f>
        <v>9787802498596</v>
      </c>
      <c r="F129" s="21" t="s">
        <v>356</v>
      </c>
      <c r="G129" s="8" t="s">
        <v>357</v>
      </c>
      <c r="H129" s="9" t="s">
        <v>358</v>
      </c>
      <c r="I129" s="8" t="s">
        <v>359</v>
      </c>
      <c r="J129" s="10">
        <v>174</v>
      </c>
      <c r="K129" s="11">
        <v>22</v>
      </c>
      <c r="L129" s="74">
        <f t="shared" si="0"/>
        <v>3828</v>
      </c>
      <c r="M129" s="74">
        <f t="shared" si="2"/>
        <v>3062.4</v>
      </c>
      <c r="N129" s="12">
        <v>80</v>
      </c>
    </row>
    <row r="130" spans="1:14">
      <c r="A130" s="25" t="s">
        <v>74</v>
      </c>
      <c r="B130" s="25" t="s">
        <v>362</v>
      </c>
      <c r="C130" s="2" t="s">
        <v>363</v>
      </c>
      <c r="D130" s="8" t="s">
        <v>420</v>
      </c>
      <c r="E130" s="8" t="s">
        <v>420</v>
      </c>
      <c r="F130" s="44" t="s">
        <v>425</v>
      </c>
      <c r="G130" s="8" t="s">
        <v>420</v>
      </c>
      <c r="H130" s="9" t="s">
        <v>420</v>
      </c>
      <c r="I130" s="8" t="s">
        <v>421</v>
      </c>
      <c r="J130" s="10">
        <v>4</v>
      </c>
      <c r="K130" s="11">
        <v>45</v>
      </c>
      <c r="L130" s="74">
        <f t="shared" si="0"/>
        <v>180</v>
      </c>
      <c r="M130" s="74">
        <f>L130*1</f>
        <v>180</v>
      </c>
      <c r="N130" s="12">
        <v>100</v>
      </c>
    </row>
    <row r="131" spans="1:14">
      <c r="A131" s="152" t="s">
        <v>442</v>
      </c>
      <c r="B131" s="153"/>
      <c r="C131" s="153"/>
      <c r="D131" s="153"/>
      <c r="E131" s="153"/>
      <c r="F131" s="153"/>
      <c r="G131" s="153"/>
      <c r="H131" s="153"/>
      <c r="I131" s="153"/>
      <c r="J131" s="154"/>
      <c r="K131" s="11">
        <f>SUM(K129:K130)</f>
        <v>67</v>
      </c>
      <c r="L131" s="74">
        <f t="shared" ref="L131:M131" si="12">SUM(L129:L130)</f>
        <v>4008</v>
      </c>
      <c r="M131" s="74">
        <f t="shared" si="12"/>
        <v>3242.4</v>
      </c>
      <c r="N131" s="12"/>
    </row>
    <row r="132" spans="1:14">
      <c r="A132" s="64"/>
      <c r="B132" s="64"/>
      <c r="C132" s="96"/>
      <c r="D132" s="67"/>
      <c r="E132" s="67"/>
      <c r="F132" s="97"/>
      <c r="G132" s="67"/>
      <c r="H132" s="69"/>
      <c r="I132" s="67"/>
      <c r="J132" s="70"/>
      <c r="K132" s="71"/>
      <c r="L132" s="75"/>
      <c r="M132" s="75"/>
      <c r="N132" s="72"/>
    </row>
    <row r="133" spans="1:14" ht="14.25">
      <c r="A133" s="88" t="s">
        <v>444</v>
      </c>
      <c r="B133" s="64"/>
      <c r="C133" s="96"/>
      <c r="D133" s="67"/>
      <c r="E133" s="67"/>
      <c r="F133" s="97"/>
      <c r="G133" s="67"/>
      <c r="H133" s="69"/>
      <c r="I133" s="67"/>
      <c r="J133" s="70"/>
      <c r="K133" s="71"/>
      <c r="L133" s="75"/>
      <c r="M133" s="75"/>
      <c r="N133" s="72"/>
    </row>
    <row r="134" spans="1:14" ht="14.25">
      <c r="A134" s="88" t="s">
        <v>443</v>
      </c>
      <c r="B134" s="64"/>
      <c r="C134" s="96"/>
      <c r="D134" s="67"/>
      <c r="E134" s="67"/>
      <c r="F134" s="97"/>
      <c r="G134" s="67"/>
      <c r="H134" s="69"/>
      <c r="I134" s="67"/>
      <c r="J134" s="70"/>
      <c r="K134" s="71"/>
      <c r="L134" s="75"/>
      <c r="M134" s="75"/>
      <c r="N134" s="72"/>
    </row>
    <row r="135" spans="1:14">
      <c r="A135" s="64"/>
      <c r="B135" s="64"/>
      <c r="C135" s="96"/>
      <c r="D135" s="67"/>
      <c r="E135" s="67"/>
      <c r="F135" s="97"/>
      <c r="G135" s="67"/>
      <c r="H135" s="69"/>
      <c r="I135" s="67"/>
      <c r="J135" s="70"/>
      <c r="K135" s="71"/>
      <c r="L135" s="75"/>
      <c r="M135" s="75"/>
      <c r="N135" s="72"/>
    </row>
    <row r="136" spans="1:14">
      <c r="A136" s="64"/>
      <c r="B136" s="64"/>
      <c r="C136" s="96"/>
      <c r="D136" s="67"/>
      <c r="E136" s="67"/>
      <c r="F136" s="97"/>
      <c r="G136" s="67"/>
      <c r="H136" s="69"/>
      <c r="I136" s="67"/>
      <c r="J136" s="70"/>
      <c r="K136" s="71"/>
      <c r="L136" s="75"/>
      <c r="M136" s="75"/>
      <c r="N136" s="72"/>
    </row>
    <row r="137" spans="1:14">
      <c r="A137" s="64"/>
      <c r="B137" s="64"/>
      <c r="C137" s="96"/>
      <c r="D137" s="67"/>
      <c r="E137" s="67"/>
      <c r="F137" s="97"/>
      <c r="G137" s="67"/>
      <c r="H137" s="69"/>
      <c r="I137" s="67"/>
      <c r="J137" s="70"/>
      <c r="K137" s="71"/>
      <c r="L137" s="75"/>
      <c r="M137" s="75"/>
      <c r="N137" s="72"/>
    </row>
    <row r="138" spans="1:14">
      <c r="A138" s="64"/>
      <c r="B138" s="64"/>
      <c r="C138" s="96"/>
      <c r="D138" s="67"/>
      <c r="E138" s="67"/>
      <c r="F138" s="97"/>
      <c r="G138" s="67"/>
      <c r="H138" s="69"/>
      <c r="I138" s="67"/>
      <c r="J138" s="70"/>
      <c r="K138" s="71"/>
      <c r="L138" s="75"/>
      <c r="M138" s="75"/>
      <c r="N138" s="72"/>
    </row>
    <row r="139" spans="1:14">
      <c r="A139" s="99"/>
      <c r="B139" s="99"/>
      <c r="C139" s="100"/>
      <c r="D139" s="101"/>
      <c r="E139" s="101"/>
      <c r="F139" s="102"/>
      <c r="G139" s="101"/>
      <c r="H139" s="103"/>
      <c r="I139" s="101"/>
      <c r="J139" s="104"/>
      <c r="K139" s="105"/>
      <c r="L139" s="106"/>
      <c r="M139" s="106"/>
      <c r="N139" s="107"/>
    </row>
    <row r="140" spans="1:14">
      <c r="A140" s="25" t="s">
        <v>76</v>
      </c>
      <c r="B140" s="7" t="s">
        <v>1</v>
      </c>
      <c r="C140" s="7" t="s">
        <v>284</v>
      </c>
      <c r="D140" s="27" t="s">
        <v>0</v>
      </c>
      <c r="E140" s="27" t="s">
        <v>3</v>
      </c>
      <c r="F140" s="27" t="s">
        <v>4</v>
      </c>
      <c r="G140" s="28" t="s">
        <v>5</v>
      </c>
      <c r="H140" s="27" t="s">
        <v>6</v>
      </c>
      <c r="I140" s="27" t="s">
        <v>7</v>
      </c>
      <c r="J140" s="27" t="s">
        <v>8</v>
      </c>
      <c r="K140" s="27" t="s">
        <v>393</v>
      </c>
      <c r="L140" s="73" t="s">
        <v>394</v>
      </c>
      <c r="M140" s="73" t="s">
        <v>395</v>
      </c>
      <c r="N140" s="29" t="s">
        <v>9</v>
      </c>
    </row>
    <row r="141" spans="1:14">
      <c r="A141" s="25" t="s">
        <v>82</v>
      </c>
      <c r="B141" s="7" t="s">
        <v>229</v>
      </c>
      <c r="C141" s="5" t="s">
        <v>48</v>
      </c>
      <c r="D141" s="8" t="str">
        <f>"PO1508060059"</f>
        <v>PO1508060059</v>
      </c>
      <c r="E141" s="8" t="str">
        <f>"9787512109537"</f>
        <v>9787512109537</v>
      </c>
      <c r="F141" s="21" t="s">
        <v>236</v>
      </c>
      <c r="G141" s="8" t="s">
        <v>235</v>
      </c>
      <c r="H141" s="9" t="s">
        <v>234</v>
      </c>
      <c r="I141" s="8" t="s">
        <v>233</v>
      </c>
      <c r="J141" s="10">
        <v>31</v>
      </c>
      <c r="K141" s="11">
        <v>36</v>
      </c>
      <c r="L141" s="74">
        <f t="shared" si="0"/>
        <v>1116</v>
      </c>
      <c r="M141" s="74">
        <f t="shared" si="2"/>
        <v>892.80000000000007</v>
      </c>
      <c r="N141" s="12">
        <v>80</v>
      </c>
    </row>
    <row r="142" spans="1:14">
      <c r="A142" s="25" t="s">
        <v>82</v>
      </c>
      <c r="B142" s="7" t="s">
        <v>229</v>
      </c>
      <c r="C142" s="5" t="s">
        <v>48</v>
      </c>
      <c r="D142" s="8" t="str">
        <f>"PO1508060059"</f>
        <v>PO1508060059</v>
      </c>
      <c r="E142" s="8" t="str">
        <f>"9787115272508"</f>
        <v>9787115272508</v>
      </c>
      <c r="F142" s="21" t="s">
        <v>232</v>
      </c>
      <c r="G142" s="8" t="s">
        <v>227</v>
      </c>
      <c r="H142" s="9" t="s">
        <v>231</v>
      </c>
      <c r="I142" s="8" t="s">
        <v>230</v>
      </c>
      <c r="J142" s="10">
        <v>32</v>
      </c>
      <c r="K142" s="11">
        <v>36</v>
      </c>
      <c r="L142" s="74">
        <f t="shared" si="0"/>
        <v>1152</v>
      </c>
      <c r="M142" s="74">
        <f t="shared" si="2"/>
        <v>921.6</v>
      </c>
      <c r="N142" s="12">
        <v>80</v>
      </c>
    </row>
    <row r="143" spans="1:14">
      <c r="A143" s="25" t="s">
        <v>82</v>
      </c>
      <c r="B143" s="7" t="s">
        <v>229</v>
      </c>
      <c r="C143" s="5" t="s">
        <v>48</v>
      </c>
      <c r="D143" s="8" t="str">
        <f>"PO1508060059"</f>
        <v>PO1508060059</v>
      </c>
      <c r="E143" s="8" t="str">
        <f>"9787040411515"</f>
        <v>9787040411515</v>
      </c>
      <c r="F143" s="21" t="s">
        <v>215</v>
      </c>
      <c r="G143" s="8" t="s">
        <v>214</v>
      </c>
      <c r="H143" s="9" t="s">
        <v>213</v>
      </c>
      <c r="I143" s="8" t="s">
        <v>212</v>
      </c>
      <c r="J143" s="10">
        <v>37</v>
      </c>
      <c r="K143" s="11">
        <v>36</v>
      </c>
      <c r="L143" s="74">
        <f t="shared" si="0"/>
        <v>1332</v>
      </c>
      <c r="M143" s="74">
        <f t="shared" si="2"/>
        <v>1065.6000000000001</v>
      </c>
      <c r="N143" s="12">
        <v>80</v>
      </c>
    </row>
    <row r="144" spans="1:14">
      <c r="A144" s="25" t="s">
        <v>74</v>
      </c>
      <c r="B144" s="7" t="s">
        <v>2</v>
      </c>
      <c r="C144" s="5" t="s">
        <v>48</v>
      </c>
      <c r="D144" s="8" t="str">
        <f>"PO1508060059"</f>
        <v>PO1508060059</v>
      </c>
      <c r="E144" s="8" t="str">
        <f>"9787115350657"</f>
        <v>9787115350657</v>
      </c>
      <c r="F144" s="21" t="s">
        <v>228</v>
      </c>
      <c r="G144" s="8" t="s">
        <v>227</v>
      </c>
      <c r="H144" s="9" t="s">
        <v>226</v>
      </c>
      <c r="I144" s="8" t="s">
        <v>225</v>
      </c>
      <c r="J144" s="10">
        <v>69</v>
      </c>
      <c r="K144" s="11">
        <v>36</v>
      </c>
      <c r="L144" s="74">
        <f t="shared" si="0"/>
        <v>2484</v>
      </c>
      <c r="M144" s="74">
        <f t="shared" si="2"/>
        <v>1987.2</v>
      </c>
      <c r="N144" s="12">
        <v>80</v>
      </c>
    </row>
    <row r="145" spans="1:14">
      <c r="A145" s="25" t="s">
        <v>74</v>
      </c>
      <c r="B145" s="7" t="s">
        <v>2</v>
      </c>
      <c r="C145" s="5" t="s">
        <v>48</v>
      </c>
      <c r="D145" s="4" t="s">
        <v>377</v>
      </c>
      <c r="E145" s="4" t="s">
        <v>376</v>
      </c>
      <c r="F145" s="33" t="s">
        <v>386</v>
      </c>
      <c r="G145" s="4" t="s">
        <v>376</v>
      </c>
      <c r="H145" s="4" t="s">
        <v>375</v>
      </c>
      <c r="I145" s="4" t="s">
        <v>376</v>
      </c>
      <c r="J145" s="30">
        <v>5</v>
      </c>
      <c r="K145" s="4">
        <v>36</v>
      </c>
      <c r="L145" s="74">
        <f t="shared" si="0"/>
        <v>180</v>
      </c>
      <c r="M145" s="74">
        <f>L145*1</f>
        <v>180</v>
      </c>
      <c r="N145" s="4">
        <v>100</v>
      </c>
    </row>
    <row r="146" spans="1:14">
      <c r="A146" s="152" t="s">
        <v>442</v>
      </c>
      <c r="B146" s="153"/>
      <c r="C146" s="153"/>
      <c r="D146" s="153"/>
      <c r="E146" s="153"/>
      <c r="F146" s="153"/>
      <c r="G146" s="153"/>
      <c r="H146" s="153"/>
      <c r="I146" s="153"/>
      <c r="J146" s="154"/>
      <c r="K146" s="128">
        <f>SUM(K141:K145)</f>
        <v>180</v>
      </c>
      <c r="L146" s="30">
        <f t="shared" ref="L146:M146" si="13">SUM(L141:L145)</f>
        <v>6264</v>
      </c>
      <c r="M146" s="30">
        <f t="shared" si="13"/>
        <v>5047.2</v>
      </c>
      <c r="N146" s="4"/>
    </row>
    <row r="147" spans="1:14">
      <c r="A147" s="80"/>
      <c r="B147" s="81"/>
      <c r="C147" s="82"/>
      <c r="D147" s="112"/>
      <c r="E147" s="112"/>
      <c r="F147" s="113"/>
      <c r="G147" s="112"/>
      <c r="H147" s="112"/>
      <c r="I147" s="112"/>
      <c r="J147" s="114"/>
      <c r="K147" s="112"/>
      <c r="L147" s="85"/>
      <c r="M147" s="85"/>
      <c r="N147" s="112"/>
    </row>
    <row r="148" spans="1:14" ht="14.25">
      <c r="A148" s="88" t="s">
        <v>444</v>
      </c>
      <c r="B148" s="65"/>
      <c r="C148" s="66"/>
      <c r="D148" s="109"/>
      <c r="E148" s="109"/>
      <c r="F148" s="110"/>
      <c r="G148" s="109"/>
      <c r="H148" s="109"/>
      <c r="I148" s="109"/>
      <c r="J148" s="111"/>
      <c r="K148" s="109"/>
      <c r="L148" s="75"/>
      <c r="M148" s="75"/>
      <c r="N148" s="109"/>
    </row>
    <row r="149" spans="1:14" ht="14.25">
      <c r="A149" s="88" t="s">
        <v>443</v>
      </c>
      <c r="B149" s="65"/>
      <c r="C149" s="66"/>
      <c r="D149" s="109"/>
      <c r="E149" s="109"/>
      <c r="F149" s="110"/>
      <c r="G149" s="109"/>
      <c r="H149" s="109"/>
      <c r="I149" s="109"/>
      <c r="J149" s="111"/>
      <c r="K149" s="109"/>
      <c r="L149" s="75"/>
      <c r="M149" s="75"/>
      <c r="N149" s="109"/>
    </row>
    <row r="150" spans="1:14">
      <c r="A150" s="64"/>
      <c r="B150" s="65"/>
      <c r="C150" s="66"/>
      <c r="D150" s="109"/>
      <c r="E150" s="109"/>
      <c r="F150" s="110"/>
      <c r="G150" s="109"/>
      <c r="H150" s="109"/>
      <c r="I150" s="109"/>
      <c r="J150" s="111"/>
      <c r="K150" s="109"/>
      <c r="L150" s="75"/>
      <c r="M150" s="75"/>
      <c r="N150" s="109"/>
    </row>
    <row r="151" spans="1:14">
      <c r="A151" s="64"/>
      <c r="B151" s="65"/>
      <c r="C151" s="66"/>
      <c r="D151" s="109"/>
      <c r="E151" s="109"/>
      <c r="F151" s="110"/>
      <c r="G151" s="109"/>
      <c r="H151" s="109"/>
      <c r="I151" s="109"/>
      <c r="J151" s="111"/>
      <c r="K151" s="109"/>
      <c r="L151" s="75"/>
      <c r="M151" s="75"/>
      <c r="N151" s="109"/>
    </row>
    <row r="152" spans="1:14">
      <c r="A152" s="64"/>
      <c r="B152" s="65"/>
      <c r="C152" s="66"/>
      <c r="D152" s="109"/>
      <c r="E152" s="109"/>
      <c r="F152" s="110"/>
      <c r="G152" s="109"/>
      <c r="H152" s="109"/>
      <c r="I152" s="109"/>
      <c r="J152" s="111"/>
      <c r="K152" s="109"/>
      <c r="L152" s="75"/>
      <c r="M152" s="75"/>
      <c r="N152" s="109"/>
    </row>
    <row r="153" spans="1:14">
      <c r="A153" s="64"/>
      <c r="B153" s="65"/>
      <c r="C153" s="66"/>
      <c r="D153" s="109"/>
      <c r="E153" s="109"/>
      <c r="F153" s="110"/>
      <c r="G153" s="109"/>
      <c r="H153" s="109"/>
      <c r="I153" s="109"/>
      <c r="J153" s="111"/>
      <c r="K153" s="109"/>
      <c r="L153" s="75"/>
      <c r="M153" s="75"/>
      <c r="N153" s="109"/>
    </row>
    <row r="154" spans="1:14">
      <c r="A154" s="99"/>
      <c r="B154" s="115"/>
      <c r="C154" s="116"/>
      <c r="D154" s="117"/>
      <c r="E154" s="117"/>
      <c r="F154" s="118"/>
      <c r="G154" s="117"/>
      <c r="H154" s="117"/>
      <c r="I154" s="117"/>
      <c r="J154" s="119"/>
      <c r="K154" s="117"/>
      <c r="L154" s="106"/>
      <c r="M154" s="106"/>
      <c r="N154" s="117"/>
    </row>
    <row r="155" spans="1:14">
      <c r="A155" s="25" t="s">
        <v>76</v>
      </c>
      <c r="B155" s="7" t="s">
        <v>1</v>
      </c>
      <c r="C155" s="7" t="s">
        <v>284</v>
      </c>
      <c r="D155" s="27" t="s">
        <v>0</v>
      </c>
      <c r="E155" s="27" t="s">
        <v>3</v>
      </c>
      <c r="F155" s="27" t="s">
        <v>4</v>
      </c>
      <c r="G155" s="28" t="s">
        <v>5</v>
      </c>
      <c r="H155" s="27" t="s">
        <v>6</v>
      </c>
      <c r="I155" s="27" t="s">
        <v>7</v>
      </c>
      <c r="J155" s="27" t="s">
        <v>8</v>
      </c>
      <c r="K155" s="27" t="s">
        <v>393</v>
      </c>
      <c r="L155" s="73" t="s">
        <v>394</v>
      </c>
      <c r="M155" s="73" t="s">
        <v>395</v>
      </c>
      <c r="N155" s="29" t="s">
        <v>9</v>
      </c>
    </row>
    <row r="156" spans="1:14">
      <c r="A156" s="25" t="s">
        <v>82</v>
      </c>
      <c r="B156" s="7" t="s">
        <v>24</v>
      </c>
      <c r="C156" s="5" t="s">
        <v>49</v>
      </c>
      <c r="D156" s="8" t="str">
        <f>"PO1508060060"</f>
        <v>PO1508060060</v>
      </c>
      <c r="E156" s="8" t="str">
        <f>"9787563529520.001"</f>
        <v>9787563529520.001</v>
      </c>
      <c r="F156" s="21" t="s">
        <v>224</v>
      </c>
      <c r="G156" s="8" t="s">
        <v>223</v>
      </c>
      <c r="H156" s="9" t="s">
        <v>145</v>
      </c>
      <c r="I156" s="8" t="s">
        <v>222</v>
      </c>
      <c r="J156" s="10">
        <v>33</v>
      </c>
      <c r="K156" s="11">
        <v>40</v>
      </c>
      <c r="L156" s="74">
        <f t="shared" si="0"/>
        <v>1320</v>
      </c>
      <c r="M156" s="74">
        <f t="shared" si="2"/>
        <v>1056</v>
      </c>
      <c r="N156" s="12">
        <v>80</v>
      </c>
    </row>
    <row r="157" spans="1:14">
      <c r="A157" s="25" t="s">
        <v>82</v>
      </c>
      <c r="B157" s="7" t="s">
        <v>24</v>
      </c>
      <c r="C157" s="5" t="s">
        <v>49</v>
      </c>
      <c r="D157" s="8" t="str">
        <f>"PO1508060060"</f>
        <v>PO1508060060</v>
      </c>
      <c r="E157" s="8" t="str">
        <f>"9787305084416"</f>
        <v>9787305084416</v>
      </c>
      <c r="F157" s="21" t="s">
        <v>221</v>
      </c>
      <c r="G157" s="8" t="s">
        <v>220</v>
      </c>
      <c r="H157" s="9" t="s">
        <v>219</v>
      </c>
      <c r="I157" s="8" t="s">
        <v>218</v>
      </c>
      <c r="J157" s="10">
        <v>35</v>
      </c>
      <c r="K157" s="11">
        <v>40</v>
      </c>
      <c r="L157" s="74">
        <f t="shared" si="0"/>
        <v>1400</v>
      </c>
      <c r="M157" s="74">
        <f t="shared" si="2"/>
        <v>1120</v>
      </c>
      <c r="N157" s="12">
        <v>80</v>
      </c>
    </row>
    <row r="158" spans="1:14">
      <c r="A158" s="25" t="s">
        <v>82</v>
      </c>
      <c r="B158" s="7" t="s">
        <v>24</v>
      </c>
      <c r="C158" s="5" t="s">
        <v>49</v>
      </c>
      <c r="D158" s="8" t="str">
        <f>"PO1508060060"</f>
        <v>PO1508060060</v>
      </c>
      <c r="E158" s="8" t="str">
        <f>"9787564804626"</f>
        <v>9787564804626</v>
      </c>
      <c r="F158" s="21" t="s">
        <v>217</v>
      </c>
      <c r="G158" s="8" t="s">
        <v>87</v>
      </c>
      <c r="H158" s="9" t="s">
        <v>102</v>
      </c>
      <c r="I158" s="8" t="s">
        <v>216</v>
      </c>
      <c r="J158" s="10">
        <v>36.5</v>
      </c>
      <c r="K158" s="11">
        <v>40</v>
      </c>
      <c r="L158" s="74">
        <f t="shared" si="0"/>
        <v>1460</v>
      </c>
      <c r="M158" s="74">
        <f t="shared" si="2"/>
        <v>1168</v>
      </c>
      <c r="N158" s="12">
        <v>80</v>
      </c>
    </row>
    <row r="159" spans="1:14">
      <c r="A159" s="25" t="s">
        <v>82</v>
      </c>
      <c r="B159" s="7" t="s">
        <v>24</v>
      </c>
      <c r="C159" s="5" t="s">
        <v>49</v>
      </c>
      <c r="D159" s="8" t="str">
        <f>"PO1508060060"</f>
        <v>PO1508060060</v>
      </c>
      <c r="E159" s="8" t="str">
        <f>"9787040411515"</f>
        <v>9787040411515</v>
      </c>
      <c r="F159" s="21" t="s">
        <v>215</v>
      </c>
      <c r="G159" s="8" t="s">
        <v>214</v>
      </c>
      <c r="H159" s="9" t="s">
        <v>213</v>
      </c>
      <c r="I159" s="8" t="s">
        <v>212</v>
      </c>
      <c r="J159" s="10">
        <v>37</v>
      </c>
      <c r="K159" s="11">
        <v>40</v>
      </c>
      <c r="L159" s="74">
        <f t="shared" si="0"/>
        <v>1480</v>
      </c>
      <c r="M159" s="74">
        <f t="shared" si="2"/>
        <v>1184</v>
      </c>
      <c r="N159" s="12">
        <v>80</v>
      </c>
    </row>
    <row r="160" spans="1:14">
      <c r="A160" s="25" t="s">
        <v>320</v>
      </c>
      <c r="B160" s="25" t="s">
        <v>351</v>
      </c>
      <c r="C160" s="2" t="s">
        <v>352</v>
      </c>
      <c r="D160" s="8" t="str">
        <f>"PO1509290064"</f>
        <v>PO1509290064</v>
      </c>
      <c r="E160" s="8" t="str">
        <f>"9787512109537"</f>
        <v>9787512109537</v>
      </c>
      <c r="F160" s="21" t="s">
        <v>236</v>
      </c>
      <c r="G160" s="8" t="s">
        <v>235</v>
      </c>
      <c r="H160" s="9" t="s">
        <v>234</v>
      </c>
      <c r="I160" s="8" t="s">
        <v>233</v>
      </c>
      <c r="J160" s="10">
        <v>31</v>
      </c>
      <c r="K160" s="11">
        <v>40</v>
      </c>
      <c r="L160" s="74">
        <f t="shared" si="0"/>
        <v>1240</v>
      </c>
      <c r="M160" s="74">
        <f t="shared" si="2"/>
        <v>992</v>
      </c>
      <c r="N160" s="12">
        <v>80</v>
      </c>
    </row>
    <row r="161" spans="1:14">
      <c r="A161" s="25" t="s">
        <v>74</v>
      </c>
      <c r="B161" s="25" t="s">
        <v>351</v>
      </c>
      <c r="C161" s="2" t="s">
        <v>352</v>
      </c>
      <c r="D161" s="4" t="s">
        <v>377</v>
      </c>
      <c r="E161" s="4" t="s">
        <v>376</v>
      </c>
      <c r="F161" s="33" t="s">
        <v>386</v>
      </c>
      <c r="G161" s="4" t="s">
        <v>376</v>
      </c>
      <c r="H161" s="4" t="s">
        <v>375</v>
      </c>
      <c r="I161" s="4" t="s">
        <v>376</v>
      </c>
      <c r="J161" s="30">
        <v>5</v>
      </c>
      <c r="K161" s="11">
        <v>40</v>
      </c>
      <c r="L161" s="74">
        <f t="shared" si="0"/>
        <v>200</v>
      </c>
      <c r="M161" s="74">
        <f>L161*1</f>
        <v>200</v>
      </c>
      <c r="N161" s="12">
        <v>100</v>
      </c>
    </row>
    <row r="162" spans="1:14">
      <c r="A162" s="25" t="s">
        <v>74</v>
      </c>
      <c r="B162" s="25" t="s">
        <v>351</v>
      </c>
      <c r="C162" s="2" t="s">
        <v>352</v>
      </c>
      <c r="D162" s="4" t="s">
        <v>377</v>
      </c>
      <c r="E162" s="4" t="s">
        <v>376</v>
      </c>
      <c r="F162" s="42" t="s">
        <v>426</v>
      </c>
      <c r="G162" s="8" t="s">
        <v>420</v>
      </c>
      <c r="H162" s="8" t="s">
        <v>420</v>
      </c>
      <c r="I162" s="8" t="s">
        <v>420</v>
      </c>
      <c r="J162" s="10">
        <v>3.1</v>
      </c>
      <c r="K162" s="11">
        <v>40</v>
      </c>
      <c r="L162" s="74">
        <f>J162*K162</f>
        <v>124</v>
      </c>
      <c r="M162" s="74">
        <f>L162*1</f>
        <v>124</v>
      </c>
      <c r="N162" s="12">
        <v>100</v>
      </c>
    </row>
    <row r="163" spans="1:14">
      <c r="A163" s="152" t="s">
        <v>442</v>
      </c>
      <c r="B163" s="153"/>
      <c r="C163" s="153"/>
      <c r="D163" s="153"/>
      <c r="E163" s="153"/>
      <c r="F163" s="153"/>
      <c r="G163" s="153"/>
      <c r="H163" s="153"/>
      <c r="I163" s="153"/>
      <c r="J163" s="154"/>
      <c r="K163" s="11">
        <f>SUM(K156:K162)</f>
        <v>280</v>
      </c>
      <c r="L163" s="74">
        <f t="shared" ref="L163:M163" si="14">SUM(L156:L162)</f>
        <v>7224</v>
      </c>
      <c r="M163" s="74">
        <f t="shared" si="14"/>
        <v>5844</v>
      </c>
      <c r="N163" s="12"/>
    </row>
    <row r="164" spans="1:14">
      <c r="A164" s="64"/>
      <c r="B164" s="64"/>
      <c r="C164" s="96"/>
      <c r="D164" s="109"/>
      <c r="E164" s="109"/>
      <c r="F164" s="68"/>
      <c r="G164" s="67"/>
      <c r="H164" s="67"/>
      <c r="I164" s="67"/>
      <c r="J164" s="70"/>
      <c r="K164" s="71"/>
      <c r="L164" s="75"/>
      <c r="M164" s="75"/>
      <c r="N164" s="72"/>
    </row>
    <row r="165" spans="1:14" ht="14.25">
      <c r="A165" s="88" t="s">
        <v>444</v>
      </c>
      <c r="B165" s="64"/>
      <c r="C165" s="96"/>
      <c r="D165" s="109"/>
      <c r="E165" s="109"/>
      <c r="F165" s="68"/>
      <c r="G165" s="67"/>
      <c r="H165" s="67"/>
      <c r="I165" s="67"/>
      <c r="J165" s="70"/>
      <c r="K165" s="71"/>
      <c r="L165" s="75"/>
      <c r="M165" s="75"/>
      <c r="N165" s="72"/>
    </row>
    <row r="166" spans="1:14" ht="14.25">
      <c r="A166" s="88" t="s">
        <v>443</v>
      </c>
      <c r="B166" s="64"/>
      <c r="C166" s="96"/>
      <c r="D166" s="109"/>
      <c r="E166" s="109"/>
      <c r="F166" s="68"/>
      <c r="G166" s="67"/>
      <c r="H166" s="67"/>
      <c r="I166" s="67"/>
      <c r="J166" s="70"/>
      <c r="K166" s="71"/>
      <c r="L166" s="75"/>
      <c r="M166" s="75"/>
      <c r="N166" s="72"/>
    </row>
    <row r="167" spans="1:14">
      <c r="A167" s="64"/>
      <c r="B167" s="64"/>
      <c r="C167" s="96"/>
      <c r="D167" s="109"/>
      <c r="E167" s="109"/>
      <c r="F167" s="68"/>
      <c r="G167" s="67"/>
      <c r="H167" s="67"/>
      <c r="I167" s="67"/>
      <c r="J167" s="70"/>
      <c r="K167" s="71"/>
      <c r="L167" s="75"/>
      <c r="M167" s="75"/>
      <c r="N167" s="72"/>
    </row>
    <row r="168" spans="1:14">
      <c r="A168" s="64"/>
      <c r="B168" s="64"/>
      <c r="C168" s="96"/>
      <c r="D168" s="109"/>
      <c r="E168" s="109"/>
      <c r="F168" s="68"/>
      <c r="G168" s="67"/>
      <c r="H168" s="67"/>
      <c r="I168" s="67"/>
      <c r="J168" s="70"/>
      <c r="K168" s="71"/>
      <c r="L168" s="75"/>
      <c r="M168" s="75"/>
      <c r="N168" s="72"/>
    </row>
    <row r="169" spans="1:14">
      <c r="A169" s="64"/>
      <c r="B169" s="64"/>
      <c r="C169" s="96"/>
      <c r="D169" s="109"/>
      <c r="E169" s="109"/>
      <c r="F169" s="68"/>
      <c r="G169" s="67"/>
      <c r="H169" s="67"/>
      <c r="I169" s="67"/>
      <c r="J169" s="70"/>
      <c r="K169" s="71"/>
      <c r="L169" s="75"/>
      <c r="M169" s="75"/>
      <c r="N169" s="72"/>
    </row>
    <row r="170" spans="1:14">
      <c r="A170" s="64"/>
      <c r="B170" s="64"/>
      <c r="C170" s="96"/>
      <c r="D170" s="109"/>
      <c r="E170" s="109"/>
      <c r="F170" s="68"/>
      <c r="G170" s="67"/>
      <c r="H170" s="67"/>
      <c r="I170" s="67"/>
      <c r="J170" s="70"/>
      <c r="K170" s="71"/>
      <c r="L170" s="75"/>
      <c r="M170" s="75"/>
      <c r="N170" s="72"/>
    </row>
    <row r="171" spans="1:14">
      <c r="A171" s="99"/>
      <c r="B171" s="99"/>
      <c r="C171" s="100"/>
      <c r="D171" s="117"/>
      <c r="E171" s="117"/>
      <c r="F171" s="120"/>
      <c r="G171" s="101"/>
      <c r="H171" s="101"/>
      <c r="I171" s="101"/>
      <c r="J171" s="104"/>
      <c r="K171" s="105"/>
      <c r="L171" s="106"/>
      <c r="M171" s="106"/>
      <c r="N171" s="107"/>
    </row>
    <row r="172" spans="1:14">
      <c r="A172" s="55" t="s">
        <v>76</v>
      </c>
      <c r="B172" s="56" t="s">
        <v>1</v>
      </c>
      <c r="C172" s="56" t="s">
        <v>284</v>
      </c>
      <c r="D172" s="91" t="s">
        <v>0</v>
      </c>
      <c r="E172" s="91" t="s">
        <v>3</v>
      </c>
      <c r="F172" s="91" t="s">
        <v>4</v>
      </c>
      <c r="G172" s="92" t="s">
        <v>5</v>
      </c>
      <c r="H172" s="91" t="s">
        <v>6</v>
      </c>
      <c r="I172" s="91" t="s">
        <v>7</v>
      </c>
      <c r="J172" s="91" t="s">
        <v>8</v>
      </c>
      <c r="K172" s="91" t="s">
        <v>393</v>
      </c>
      <c r="L172" s="93" t="s">
        <v>394</v>
      </c>
      <c r="M172" s="93" t="s">
        <v>395</v>
      </c>
      <c r="N172" s="94" t="s">
        <v>9</v>
      </c>
    </row>
    <row r="173" spans="1:14">
      <c r="A173" s="25" t="s">
        <v>79</v>
      </c>
      <c r="B173" s="7" t="s">
        <v>25</v>
      </c>
      <c r="C173" s="5" t="s">
        <v>50</v>
      </c>
      <c r="D173" s="8" t="str">
        <f>"PO1508060061"</f>
        <v>PO1508060061</v>
      </c>
      <c r="E173" s="8" t="str">
        <f>"9787308065177"</f>
        <v>9787308065177</v>
      </c>
      <c r="F173" s="21" t="s">
        <v>211</v>
      </c>
      <c r="G173" s="8" t="s">
        <v>210</v>
      </c>
      <c r="H173" s="9" t="s">
        <v>209</v>
      </c>
      <c r="I173" s="8" t="s">
        <v>208</v>
      </c>
      <c r="J173" s="10">
        <v>28</v>
      </c>
      <c r="K173" s="11">
        <v>34</v>
      </c>
      <c r="L173" s="74">
        <f t="shared" si="0"/>
        <v>952</v>
      </c>
      <c r="M173" s="74">
        <f t="shared" si="2"/>
        <v>761.6</v>
      </c>
      <c r="N173" s="12">
        <v>80</v>
      </c>
    </row>
    <row r="174" spans="1:14">
      <c r="A174" s="25" t="s">
        <v>82</v>
      </c>
      <c r="B174" s="7" t="s">
        <v>25</v>
      </c>
      <c r="C174" s="5" t="s">
        <v>50</v>
      </c>
      <c r="D174" s="8" t="str">
        <f>"PO1508060061"</f>
        <v>PO1508060061</v>
      </c>
      <c r="E174" s="8" t="str">
        <f>"9787565414534"</f>
        <v>9787565414534</v>
      </c>
      <c r="F174" s="21" t="s">
        <v>207</v>
      </c>
      <c r="G174" s="8" t="s">
        <v>206</v>
      </c>
      <c r="H174" s="9" t="s">
        <v>205</v>
      </c>
      <c r="I174" s="8" t="s">
        <v>204</v>
      </c>
      <c r="J174" s="10">
        <v>29</v>
      </c>
      <c r="K174" s="11">
        <v>34</v>
      </c>
      <c r="L174" s="74">
        <f t="shared" si="0"/>
        <v>986</v>
      </c>
      <c r="M174" s="74">
        <f t="shared" si="2"/>
        <v>788.80000000000007</v>
      </c>
      <c r="N174" s="12">
        <v>80</v>
      </c>
    </row>
    <row r="175" spans="1:14">
      <c r="A175" s="25" t="s">
        <v>82</v>
      </c>
      <c r="B175" s="7" t="s">
        <v>25</v>
      </c>
      <c r="C175" s="5" t="s">
        <v>50</v>
      </c>
      <c r="D175" s="8" t="str">
        <f>"PO1508060061"</f>
        <v>PO1508060061</v>
      </c>
      <c r="E175" s="8" t="str">
        <f>"9787563925834"</f>
        <v>9787563925834</v>
      </c>
      <c r="F175" s="21" t="s">
        <v>203</v>
      </c>
      <c r="G175" s="8" t="s">
        <v>202</v>
      </c>
      <c r="H175" s="9" t="s">
        <v>201</v>
      </c>
      <c r="I175" s="8" t="s">
        <v>200</v>
      </c>
      <c r="J175" s="10">
        <v>30</v>
      </c>
      <c r="K175" s="11">
        <v>34</v>
      </c>
      <c r="L175" s="74">
        <f t="shared" si="0"/>
        <v>1020</v>
      </c>
      <c r="M175" s="74">
        <f t="shared" si="2"/>
        <v>816</v>
      </c>
      <c r="N175" s="12">
        <v>80</v>
      </c>
    </row>
    <row r="176" spans="1:14">
      <c r="A176" s="25" t="s">
        <v>82</v>
      </c>
      <c r="B176" s="7" t="s">
        <v>25</v>
      </c>
      <c r="C176" s="5" t="s">
        <v>50</v>
      </c>
      <c r="D176" s="8" t="str">
        <f>"PO1508060061"</f>
        <v>PO1508060061</v>
      </c>
      <c r="E176" s="8" t="str">
        <f>"9787302228103.001"</f>
        <v>9787302228103.001</v>
      </c>
      <c r="F176" s="21" t="s">
        <v>199</v>
      </c>
      <c r="G176" s="8" t="s">
        <v>198</v>
      </c>
      <c r="H176" s="9" t="s">
        <v>106</v>
      </c>
      <c r="I176" s="8" t="s">
        <v>197</v>
      </c>
      <c r="J176" s="10">
        <v>34</v>
      </c>
      <c r="K176" s="11">
        <v>34</v>
      </c>
      <c r="L176" s="74">
        <f t="shared" si="0"/>
        <v>1156</v>
      </c>
      <c r="M176" s="74">
        <f t="shared" si="2"/>
        <v>924.80000000000007</v>
      </c>
      <c r="N176" s="12">
        <v>80</v>
      </c>
    </row>
    <row r="177" spans="1:14">
      <c r="A177" s="25" t="s">
        <v>74</v>
      </c>
      <c r="B177" s="7" t="s">
        <v>25</v>
      </c>
      <c r="C177" s="5" t="s">
        <v>50</v>
      </c>
      <c r="D177" s="4" t="s">
        <v>377</v>
      </c>
      <c r="E177" s="4" t="s">
        <v>376</v>
      </c>
      <c r="F177" s="33" t="s">
        <v>386</v>
      </c>
      <c r="G177" s="4" t="s">
        <v>376</v>
      </c>
      <c r="H177" s="4" t="s">
        <v>375</v>
      </c>
      <c r="I177" s="4" t="s">
        <v>376</v>
      </c>
      <c r="J177" s="30">
        <v>5</v>
      </c>
      <c r="K177" s="11">
        <v>34</v>
      </c>
      <c r="L177" s="74">
        <f t="shared" si="0"/>
        <v>170</v>
      </c>
      <c r="M177" s="74">
        <f>L177*1</f>
        <v>170</v>
      </c>
      <c r="N177" s="12">
        <v>100</v>
      </c>
    </row>
    <row r="178" spans="1:14">
      <c r="A178" s="25" t="s">
        <v>74</v>
      </c>
      <c r="B178" s="7" t="s">
        <v>25</v>
      </c>
      <c r="C178" s="5" t="s">
        <v>50</v>
      </c>
      <c r="D178" s="4" t="s">
        <v>377</v>
      </c>
      <c r="E178" s="4" t="s">
        <v>376</v>
      </c>
      <c r="F178" s="43" t="s">
        <v>429</v>
      </c>
      <c r="G178" s="4" t="s">
        <v>376</v>
      </c>
      <c r="H178" s="4" t="s">
        <v>375</v>
      </c>
      <c r="I178" s="4" t="s">
        <v>376</v>
      </c>
      <c r="J178" s="30">
        <v>3.6</v>
      </c>
      <c r="K178" s="11">
        <v>34</v>
      </c>
      <c r="L178" s="74">
        <f t="shared" si="0"/>
        <v>122.4</v>
      </c>
      <c r="M178" s="74">
        <f>L178*1</f>
        <v>122.4</v>
      </c>
      <c r="N178" s="12">
        <v>100</v>
      </c>
    </row>
    <row r="179" spans="1:14">
      <c r="A179" s="152" t="s">
        <v>442</v>
      </c>
      <c r="B179" s="153"/>
      <c r="C179" s="153"/>
      <c r="D179" s="153"/>
      <c r="E179" s="153"/>
      <c r="F179" s="153"/>
      <c r="G179" s="153"/>
      <c r="H179" s="153"/>
      <c r="I179" s="153"/>
      <c r="J179" s="154"/>
      <c r="K179" s="53">
        <f>SUM(K173:K178)</f>
        <v>204</v>
      </c>
      <c r="L179" s="79">
        <f t="shared" ref="L179:M179" si="15">SUM(L173:L178)</f>
        <v>4406.3999999999996</v>
      </c>
      <c r="M179" s="79">
        <f t="shared" si="15"/>
        <v>3583.6000000000004</v>
      </c>
      <c r="N179" s="54"/>
    </row>
    <row r="180" spans="1:14">
      <c r="A180" s="64"/>
      <c r="B180" s="65"/>
      <c r="C180" s="66"/>
      <c r="D180" s="109"/>
      <c r="E180" s="109"/>
      <c r="F180" s="87"/>
      <c r="G180" s="109"/>
      <c r="H180" s="109"/>
      <c r="I180" s="109"/>
      <c r="J180" s="111"/>
      <c r="K180" s="71"/>
      <c r="L180" s="75"/>
      <c r="M180" s="75"/>
      <c r="N180" s="72"/>
    </row>
    <row r="181" spans="1:14" ht="14.25">
      <c r="A181" s="88" t="s">
        <v>444</v>
      </c>
      <c r="B181" s="65"/>
      <c r="C181" s="66"/>
      <c r="D181" s="109"/>
      <c r="E181" s="109"/>
      <c r="F181" s="87"/>
      <c r="G181" s="109"/>
      <c r="H181" s="109"/>
      <c r="I181" s="109"/>
      <c r="J181" s="111"/>
      <c r="K181" s="71"/>
      <c r="L181" s="75"/>
      <c r="M181" s="75"/>
      <c r="N181" s="72"/>
    </row>
    <row r="182" spans="1:14" ht="14.25">
      <c r="A182" s="88" t="s">
        <v>443</v>
      </c>
      <c r="B182" s="65"/>
      <c r="C182" s="66"/>
      <c r="D182" s="109"/>
      <c r="E182" s="109"/>
      <c r="F182" s="87"/>
      <c r="G182" s="109"/>
      <c r="H182" s="109"/>
      <c r="I182" s="109"/>
      <c r="J182" s="111"/>
      <c r="K182" s="71"/>
      <c r="L182" s="75"/>
      <c r="M182" s="75"/>
      <c r="N182" s="72"/>
    </row>
    <row r="183" spans="1:14">
      <c r="A183" s="64"/>
      <c r="B183" s="65"/>
      <c r="C183" s="66"/>
      <c r="D183" s="109"/>
      <c r="E183" s="109"/>
      <c r="F183" s="87"/>
      <c r="G183" s="109"/>
      <c r="H183" s="109"/>
      <c r="I183" s="109"/>
      <c r="J183" s="111"/>
      <c r="K183" s="71"/>
      <c r="L183" s="75"/>
      <c r="M183" s="75"/>
      <c r="N183" s="72"/>
    </row>
    <row r="184" spans="1:14">
      <c r="A184" s="64"/>
      <c r="B184" s="65"/>
      <c r="C184" s="66"/>
      <c r="D184" s="109"/>
      <c r="E184" s="109"/>
      <c r="F184" s="87"/>
      <c r="G184" s="109"/>
      <c r="H184" s="109"/>
      <c r="I184" s="109"/>
      <c r="J184" s="111"/>
      <c r="K184" s="71"/>
      <c r="L184" s="75"/>
      <c r="M184" s="75"/>
      <c r="N184" s="72"/>
    </row>
    <row r="185" spans="1:14">
      <c r="A185" s="64"/>
      <c r="B185" s="65"/>
      <c r="C185" s="66"/>
      <c r="D185" s="109"/>
      <c r="E185" s="109"/>
      <c r="F185" s="87"/>
      <c r="G185" s="109"/>
      <c r="H185" s="109"/>
      <c r="I185" s="109"/>
      <c r="J185" s="111"/>
      <c r="K185" s="71"/>
      <c r="L185" s="75"/>
      <c r="M185" s="75"/>
      <c r="N185" s="72"/>
    </row>
    <row r="186" spans="1:14">
      <c r="A186" s="64"/>
      <c r="B186" s="65"/>
      <c r="C186" s="66"/>
      <c r="D186" s="109"/>
      <c r="E186" s="109"/>
      <c r="F186" s="87"/>
      <c r="G186" s="109"/>
      <c r="H186" s="109"/>
      <c r="I186" s="109"/>
      <c r="J186" s="111"/>
      <c r="K186" s="71"/>
      <c r="L186" s="75"/>
      <c r="M186" s="75"/>
      <c r="N186" s="72"/>
    </row>
    <row r="187" spans="1:14">
      <c r="A187" s="64"/>
      <c r="B187" s="65"/>
      <c r="C187" s="66"/>
      <c r="D187" s="109"/>
      <c r="E187" s="109"/>
      <c r="F187" s="87"/>
      <c r="G187" s="109"/>
      <c r="H187" s="109"/>
      <c r="I187" s="109"/>
      <c r="J187" s="111"/>
      <c r="K187" s="71"/>
      <c r="L187" s="75"/>
      <c r="M187" s="75"/>
      <c r="N187" s="72"/>
    </row>
    <row r="188" spans="1:14">
      <c r="A188" s="25" t="s">
        <v>76</v>
      </c>
      <c r="B188" s="7" t="s">
        <v>1</v>
      </c>
      <c r="C188" s="7" t="s">
        <v>284</v>
      </c>
      <c r="D188" s="27" t="s">
        <v>0</v>
      </c>
      <c r="E188" s="27" t="s">
        <v>3</v>
      </c>
      <c r="F188" s="27" t="s">
        <v>4</v>
      </c>
      <c r="G188" s="28" t="s">
        <v>5</v>
      </c>
      <c r="H188" s="27" t="s">
        <v>6</v>
      </c>
      <c r="I188" s="27" t="s">
        <v>7</v>
      </c>
      <c r="J188" s="27" t="s">
        <v>8</v>
      </c>
      <c r="K188" s="27" t="s">
        <v>393</v>
      </c>
      <c r="L188" s="73" t="s">
        <v>394</v>
      </c>
      <c r="M188" s="73" t="s">
        <v>395</v>
      </c>
      <c r="N188" s="29" t="s">
        <v>9</v>
      </c>
    </row>
    <row r="189" spans="1:14">
      <c r="A189" s="25" t="s">
        <v>82</v>
      </c>
      <c r="B189" s="7" t="s">
        <v>26</v>
      </c>
      <c r="C189" s="5" t="s">
        <v>51</v>
      </c>
      <c r="D189" s="8" t="str">
        <f>"PO1508060062"</f>
        <v>PO1508060062</v>
      </c>
      <c r="E189" s="8" t="str">
        <f>"9787111254768"</f>
        <v>9787111254768</v>
      </c>
      <c r="F189" s="21" t="s">
        <v>196</v>
      </c>
      <c r="G189" s="8" t="s">
        <v>195</v>
      </c>
      <c r="H189" s="9" t="s">
        <v>194</v>
      </c>
      <c r="I189" s="8" t="s">
        <v>193</v>
      </c>
      <c r="J189" s="10">
        <v>24</v>
      </c>
      <c r="K189" s="11">
        <v>44</v>
      </c>
      <c r="L189" s="74">
        <f t="shared" si="0"/>
        <v>1056</v>
      </c>
      <c r="M189" s="74">
        <f t="shared" si="2"/>
        <v>844.80000000000007</v>
      </c>
      <c r="N189" s="12">
        <v>80</v>
      </c>
    </row>
    <row r="190" spans="1:14">
      <c r="A190" s="25" t="s">
        <v>82</v>
      </c>
      <c r="B190" s="7" t="s">
        <v>26</v>
      </c>
      <c r="C190" s="5" t="s">
        <v>51</v>
      </c>
      <c r="D190" s="8" t="str">
        <f>"PO1508060062"</f>
        <v>PO1508060062</v>
      </c>
      <c r="E190" s="8" t="str">
        <f>"9787307083943"</f>
        <v>9787307083943</v>
      </c>
      <c r="F190" s="21" t="s">
        <v>192</v>
      </c>
      <c r="G190" s="8" t="s">
        <v>191</v>
      </c>
      <c r="H190" s="9" t="s">
        <v>190</v>
      </c>
      <c r="I190" s="8" t="s">
        <v>189</v>
      </c>
      <c r="J190" s="10">
        <v>32</v>
      </c>
      <c r="K190" s="11">
        <v>44</v>
      </c>
      <c r="L190" s="74">
        <f t="shared" si="0"/>
        <v>1408</v>
      </c>
      <c r="M190" s="74">
        <f t="shared" si="2"/>
        <v>1126.4000000000001</v>
      </c>
      <c r="N190" s="12">
        <v>80</v>
      </c>
    </row>
    <row r="191" spans="1:14">
      <c r="A191" s="25" t="s">
        <v>82</v>
      </c>
      <c r="B191" s="7" t="s">
        <v>26</v>
      </c>
      <c r="C191" s="5" t="s">
        <v>51</v>
      </c>
      <c r="D191" s="8" t="str">
        <f>"PO1508060062"</f>
        <v>PO1508060062</v>
      </c>
      <c r="E191" s="8" t="str">
        <f>"9787121180262"</f>
        <v>9787121180262</v>
      </c>
      <c r="F191" s="21" t="s">
        <v>188</v>
      </c>
      <c r="G191" s="8" t="s">
        <v>187</v>
      </c>
      <c r="H191" s="9" t="s">
        <v>186</v>
      </c>
      <c r="I191" s="8" t="s">
        <v>185</v>
      </c>
      <c r="J191" s="10">
        <v>35</v>
      </c>
      <c r="K191" s="11">
        <v>44</v>
      </c>
      <c r="L191" s="74">
        <f t="shared" si="0"/>
        <v>1540</v>
      </c>
      <c r="M191" s="74">
        <f t="shared" si="2"/>
        <v>1232</v>
      </c>
      <c r="N191" s="12">
        <v>80</v>
      </c>
    </row>
    <row r="192" spans="1:14">
      <c r="A192" s="25" t="s">
        <v>82</v>
      </c>
      <c r="B192" s="7" t="s">
        <v>26</v>
      </c>
      <c r="C192" s="5" t="s">
        <v>51</v>
      </c>
      <c r="D192" s="8" t="str">
        <f>"PO1508060062"</f>
        <v>PO1508060062</v>
      </c>
      <c r="E192" s="8" t="str">
        <f>"9787564095307"</f>
        <v>9787564095307</v>
      </c>
      <c r="F192" s="21" t="s">
        <v>184</v>
      </c>
      <c r="G192" s="8" t="s">
        <v>183</v>
      </c>
      <c r="H192" s="9" t="s">
        <v>182</v>
      </c>
      <c r="I192" s="8" t="s">
        <v>181</v>
      </c>
      <c r="J192" s="10">
        <v>39</v>
      </c>
      <c r="K192" s="11">
        <v>44</v>
      </c>
      <c r="L192" s="74">
        <f t="shared" si="0"/>
        <v>1716</v>
      </c>
      <c r="M192" s="74">
        <f t="shared" si="2"/>
        <v>1372.8000000000002</v>
      </c>
      <c r="N192" s="12">
        <v>80</v>
      </c>
    </row>
    <row r="193" spans="1:14">
      <c r="A193" s="25" t="s">
        <v>74</v>
      </c>
      <c r="B193" s="7" t="s">
        <v>26</v>
      </c>
      <c r="C193" s="5" t="s">
        <v>51</v>
      </c>
      <c r="D193" s="4" t="s">
        <v>377</v>
      </c>
      <c r="E193" s="4" t="s">
        <v>376</v>
      </c>
      <c r="F193" s="33" t="s">
        <v>386</v>
      </c>
      <c r="G193" s="4" t="s">
        <v>376</v>
      </c>
      <c r="H193" s="4" t="s">
        <v>375</v>
      </c>
      <c r="I193" s="4" t="s">
        <v>376</v>
      </c>
      <c r="J193" s="30">
        <v>5</v>
      </c>
      <c r="K193" s="11">
        <v>44</v>
      </c>
      <c r="L193" s="74">
        <f t="shared" si="0"/>
        <v>220</v>
      </c>
      <c r="M193" s="74">
        <f>L193*1</f>
        <v>220</v>
      </c>
      <c r="N193" s="12">
        <v>100</v>
      </c>
    </row>
    <row r="194" spans="1:14">
      <c r="A194" s="152" t="s">
        <v>442</v>
      </c>
      <c r="B194" s="153"/>
      <c r="C194" s="153"/>
      <c r="D194" s="153"/>
      <c r="E194" s="153"/>
      <c r="F194" s="153"/>
      <c r="G194" s="153"/>
      <c r="H194" s="153"/>
      <c r="I194" s="153"/>
      <c r="J194" s="154"/>
      <c r="K194" s="11">
        <f>SUM(K189:K193)</f>
        <v>220</v>
      </c>
      <c r="L194" s="74">
        <f t="shared" ref="L194:M194" si="16">SUM(L189:L193)</f>
        <v>5940</v>
      </c>
      <c r="M194" s="74">
        <f t="shared" si="16"/>
        <v>4796</v>
      </c>
      <c r="N194" s="12"/>
    </row>
    <row r="195" spans="1:14">
      <c r="A195" s="80"/>
      <c r="B195" s="81"/>
      <c r="C195" s="82"/>
      <c r="D195" s="112"/>
      <c r="E195" s="112"/>
      <c r="F195" s="113"/>
      <c r="G195" s="112"/>
      <c r="H195" s="112"/>
      <c r="I195" s="112"/>
      <c r="J195" s="114"/>
      <c r="K195" s="84"/>
      <c r="L195" s="85"/>
      <c r="M195" s="85"/>
      <c r="N195" s="86"/>
    </row>
    <row r="196" spans="1:14" ht="14.25">
      <c r="A196" s="88" t="s">
        <v>444</v>
      </c>
      <c r="B196" s="65"/>
      <c r="C196" s="66"/>
      <c r="D196" s="109"/>
      <c r="E196" s="109"/>
      <c r="F196" s="110"/>
      <c r="G196" s="109"/>
      <c r="H196" s="109"/>
      <c r="I196" s="109"/>
      <c r="J196" s="111"/>
      <c r="K196" s="71"/>
      <c r="L196" s="75"/>
      <c r="M196" s="75"/>
      <c r="N196" s="72"/>
    </row>
    <row r="197" spans="1:14" ht="14.25">
      <c r="A197" s="88" t="s">
        <v>443</v>
      </c>
      <c r="B197" s="65"/>
      <c r="C197" s="66"/>
      <c r="D197" s="109"/>
      <c r="E197" s="109"/>
      <c r="F197" s="110"/>
      <c r="G197" s="109"/>
      <c r="H197" s="109"/>
      <c r="I197" s="109"/>
      <c r="J197" s="111"/>
      <c r="K197" s="71"/>
      <c r="L197" s="75"/>
      <c r="M197" s="75"/>
      <c r="N197" s="72"/>
    </row>
    <row r="198" spans="1:14">
      <c r="A198" s="64"/>
      <c r="B198" s="65"/>
      <c r="C198" s="66"/>
      <c r="D198" s="109"/>
      <c r="E198" s="109"/>
      <c r="F198" s="110"/>
      <c r="G198" s="109"/>
      <c r="H198" s="109"/>
      <c r="I198" s="109"/>
      <c r="J198" s="111"/>
      <c r="K198" s="71"/>
      <c r="L198" s="75"/>
      <c r="M198" s="75"/>
      <c r="N198" s="72"/>
    </row>
    <row r="199" spans="1:14">
      <c r="A199" s="64"/>
      <c r="B199" s="65"/>
      <c r="C199" s="66"/>
      <c r="D199" s="109"/>
      <c r="E199" s="109"/>
      <c r="F199" s="110"/>
      <c r="G199" s="109"/>
      <c r="H199" s="109"/>
      <c r="I199" s="109"/>
      <c r="J199" s="111"/>
      <c r="K199" s="71"/>
      <c r="L199" s="75"/>
      <c r="M199" s="75"/>
      <c r="N199" s="72"/>
    </row>
    <row r="200" spans="1:14">
      <c r="A200" s="64"/>
      <c r="B200" s="65"/>
      <c r="C200" s="66"/>
      <c r="D200" s="109"/>
      <c r="E200" s="109"/>
      <c r="F200" s="110"/>
      <c r="G200" s="109"/>
      <c r="H200" s="109"/>
      <c r="I200" s="109"/>
      <c r="J200" s="111"/>
      <c r="K200" s="71"/>
      <c r="L200" s="75"/>
      <c r="M200" s="75"/>
      <c r="N200" s="72"/>
    </row>
    <row r="201" spans="1:14">
      <c r="A201" s="99"/>
      <c r="B201" s="115"/>
      <c r="C201" s="116"/>
      <c r="D201" s="117"/>
      <c r="E201" s="117"/>
      <c r="F201" s="118"/>
      <c r="G201" s="117"/>
      <c r="H201" s="117"/>
      <c r="I201" s="117"/>
      <c r="J201" s="119"/>
      <c r="K201" s="105"/>
      <c r="L201" s="106"/>
      <c r="M201" s="106"/>
      <c r="N201" s="107"/>
    </row>
    <row r="202" spans="1:14">
      <c r="A202" s="25" t="s">
        <v>76</v>
      </c>
      <c r="B202" s="7" t="s">
        <v>1</v>
      </c>
      <c r="C202" s="7" t="s">
        <v>284</v>
      </c>
      <c r="D202" s="27" t="s">
        <v>0</v>
      </c>
      <c r="E202" s="27" t="s">
        <v>3</v>
      </c>
      <c r="F202" s="27" t="s">
        <v>4</v>
      </c>
      <c r="G202" s="28" t="s">
        <v>5</v>
      </c>
      <c r="H202" s="27" t="s">
        <v>6</v>
      </c>
      <c r="I202" s="27" t="s">
        <v>7</v>
      </c>
      <c r="J202" s="27" t="s">
        <v>8</v>
      </c>
      <c r="K202" s="27" t="s">
        <v>393</v>
      </c>
      <c r="L202" s="73" t="s">
        <v>394</v>
      </c>
      <c r="M202" s="73" t="s">
        <v>395</v>
      </c>
      <c r="N202" s="29" t="s">
        <v>9</v>
      </c>
    </row>
    <row r="203" spans="1:14">
      <c r="A203" s="25" t="s">
        <v>74</v>
      </c>
      <c r="B203" s="7" t="s">
        <v>437</v>
      </c>
      <c r="C203" s="5" t="s">
        <v>430</v>
      </c>
      <c r="D203" s="4" t="s">
        <v>377</v>
      </c>
      <c r="E203" s="4" t="s">
        <v>376</v>
      </c>
      <c r="F203" s="42" t="s">
        <v>431</v>
      </c>
      <c r="G203" s="4" t="s">
        <v>376</v>
      </c>
      <c r="H203" s="4" t="s">
        <v>375</v>
      </c>
      <c r="I203" s="4" t="s">
        <v>376</v>
      </c>
      <c r="J203" s="30">
        <v>3.6</v>
      </c>
      <c r="K203" s="11">
        <v>45</v>
      </c>
      <c r="L203" s="74">
        <f t="shared" ref="L203" si="17">J203*K203</f>
        <v>162</v>
      </c>
      <c r="M203" s="74">
        <f>L203*1</f>
        <v>162</v>
      </c>
      <c r="N203" s="12">
        <v>100</v>
      </c>
    </row>
    <row r="204" spans="1:14">
      <c r="A204" s="64"/>
      <c r="B204" s="65"/>
      <c r="C204" s="66"/>
      <c r="D204" s="109"/>
      <c r="E204" s="109"/>
      <c r="F204" s="68"/>
      <c r="G204" s="109"/>
      <c r="H204" s="109"/>
      <c r="I204" s="109"/>
      <c r="J204" s="111"/>
      <c r="K204" s="71"/>
      <c r="L204" s="75"/>
      <c r="M204" s="75"/>
      <c r="N204" s="72"/>
    </row>
    <row r="205" spans="1:14" ht="14.25">
      <c r="A205" s="88" t="s">
        <v>444</v>
      </c>
      <c r="B205" s="65"/>
      <c r="C205" s="66"/>
      <c r="D205" s="109"/>
      <c r="E205" s="109"/>
      <c r="F205" s="68"/>
      <c r="G205" s="109"/>
      <c r="H205" s="109"/>
      <c r="I205" s="109"/>
      <c r="J205" s="111"/>
      <c r="K205" s="71"/>
      <c r="L205" s="75"/>
      <c r="M205" s="75"/>
      <c r="N205" s="72"/>
    </row>
    <row r="206" spans="1:14" ht="14.25">
      <c r="A206" s="88" t="s">
        <v>443</v>
      </c>
      <c r="B206" s="65"/>
      <c r="C206" s="66"/>
      <c r="D206" s="109"/>
      <c r="E206" s="109"/>
      <c r="F206" s="68"/>
      <c r="G206" s="109"/>
      <c r="H206" s="109"/>
      <c r="I206" s="109"/>
      <c r="J206" s="111"/>
      <c r="K206" s="71"/>
      <c r="L206" s="75"/>
      <c r="M206" s="75"/>
      <c r="N206" s="72"/>
    </row>
    <row r="207" spans="1:14">
      <c r="A207" s="64"/>
      <c r="B207" s="65"/>
      <c r="C207" s="66"/>
      <c r="D207" s="109"/>
      <c r="E207" s="109"/>
      <c r="F207" s="68"/>
      <c r="G207" s="109"/>
      <c r="H207" s="109"/>
      <c r="I207" s="109"/>
      <c r="J207" s="111"/>
      <c r="K207" s="71"/>
      <c r="L207" s="75"/>
      <c r="M207" s="75"/>
      <c r="N207" s="72"/>
    </row>
    <row r="208" spans="1:14">
      <c r="A208" s="64"/>
      <c r="B208" s="65"/>
      <c r="C208" s="66"/>
      <c r="D208" s="109"/>
      <c r="E208" s="109"/>
      <c r="F208" s="68"/>
      <c r="G208" s="109"/>
      <c r="H208" s="109"/>
      <c r="I208" s="109"/>
      <c r="J208" s="111"/>
      <c r="K208" s="71"/>
      <c r="L208" s="75"/>
      <c r="M208" s="75"/>
      <c r="N208" s="72"/>
    </row>
    <row r="209" spans="1:14">
      <c r="A209" s="64"/>
      <c r="B209" s="65"/>
      <c r="C209" s="66"/>
      <c r="D209" s="109"/>
      <c r="E209" s="109"/>
      <c r="F209" s="68"/>
      <c r="G209" s="109"/>
      <c r="H209" s="109"/>
      <c r="I209" s="109"/>
      <c r="J209" s="111"/>
      <c r="K209" s="71"/>
      <c r="L209" s="75"/>
      <c r="M209" s="75"/>
      <c r="N209" s="72"/>
    </row>
    <row r="210" spans="1:14">
      <c r="A210" s="64"/>
      <c r="B210" s="65"/>
      <c r="C210" s="66"/>
      <c r="D210" s="109"/>
      <c r="E210" s="109"/>
      <c r="F210" s="68"/>
      <c r="G210" s="109"/>
      <c r="H210" s="109"/>
      <c r="I210" s="109"/>
      <c r="J210" s="111"/>
      <c r="K210" s="71"/>
      <c r="L210" s="75"/>
      <c r="M210" s="75"/>
      <c r="N210" s="72"/>
    </row>
    <row r="211" spans="1:14">
      <c r="A211" s="99"/>
      <c r="B211" s="115"/>
      <c r="C211" s="116"/>
      <c r="D211" s="117"/>
      <c r="E211" s="117"/>
      <c r="F211" s="120"/>
      <c r="G211" s="117"/>
      <c r="H211" s="117"/>
      <c r="I211" s="117"/>
      <c r="J211" s="119"/>
      <c r="K211" s="105"/>
      <c r="L211" s="106"/>
      <c r="M211" s="106"/>
      <c r="N211" s="107"/>
    </row>
    <row r="212" spans="1:14">
      <c r="A212" s="25" t="s">
        <v>76</v>
      </c>
      <c r="B212" s="7" t="s">
        <v>1</v>
      </c>
      <c r="C212" s="7" t="s">
        <v>284</v>
      </c>
      <c r="D212" s="27" t="s">
        <v>0</v>
      </c>
      <c r="E212" s="27" t="s">
        <v>3</v>
      </c>
      <c r="F212" s="27" t="s">
        <v>4</v>
      </c>
      <c r="G212" s="28" t="s">
        <v>5</v>
      </c>
      <c r="H212" s="27" t="s">
        <v>6</v>
      </c>
      <c r="I212" s="27" t="s">
        <v>7</v>
      </c>
      <c r="J212" s="27" t="s">
        <v>8</v>
      </c>
      <c r="K212" s="27" t="s">
        <v>393</v>
      </c>
      <c r="L212" s="73" t="s">
        <v>394</v>
      </c>
      <c r="M212" s="73" t="s">
        <v>395</v>
      </c>
      <c r="N212" s="29" t="s">
        <v>9</v>
      </c>
    </row>
    <row r="213" spans="1:14">
      <c r="A213" s="4" t="s">
        <v>74</v>
      </c>
      <c r="B213" s="20" t="s">
        <v>287</v>
      </c>
      <c r="C213" s="5" t="s">
        <v>52</v>
      </c>
      <c r="D213" s="22" t="str">
        <f>"PO1509090009"</f>
        <v>PO1509090009</v>
      </c>
      <c r="E213" s="22" t="str">
        <f>"9787561546611.001"</f>
        <v>9787561546611.001</v>
      </c>
      <c r="F213" s="23" t="s">
        <v>294</v>
      </c>
      <c r="G213" s="8" t="s">
        <v>164</v>
      </c>
      <c r="H213" s="9" t="s">
        <v>98</v>
      </c>
      <c r="I213" s="8" t="s">
        <v>295</v>
      </c>
      <c r="J213" s="10">
        <v>32</v>
      </c>
      <c r="K213" s="11">
        <v>39</v>
      </c>
      <c r="L213" s="74">
        <f t="shared" si="0"/>
        <v>1248</v>
      </c>
      <c r="M213" s="74">
        <f t="shared" si="2"/>
        <v>998.40000000000009</v>
      </c>
      <c r="N213" s="12">
        <v>80</v>
      </c>
    </row>
    <row r="214" spans="1:14">
      <c r="A214" s="25" t="s">
        <v>296</v>
      </c>
      <c r="B214" s="25" t="s">
        <v>297</v>
      </c>
      <c r="C214" s="2" t="s">
        <v>299</v>
      </c>
      <c r="D214" s="8" t="str">
        <f t="shared" ref="D214:D221" si="18">"PO1509170085"</f>
        <v>PO1509170085</v>
      </c>
      <c r="E214" s="8" t="str">
        <f>"9787040332575"</f>
        <v>9787040332575</v>
      </c>
      <c r="F214" s="21" t="s">
        <v>300</v>
      </c>
      <c r="G214" s="8" t="s">
        <v>214</v>
      </c>
      <c r="H214" s="9" t="s">
        <v>145</v>
      </c>
      <c r="I214" s="8" t="s">
        <v>301</v>
      </c>
      <c r="J214" s="10">
        <v>26</v>
      </c>
      <c r="K214" s="11">
        <v>39</v>
      </c>
      <c r="L214" s="74">
        <f t="shared" si="0"/>
        <v>1014</v>
      </c>
      <c r="M214" s="74">
        <f t="shared" si="2"/>
        <v>811.2</v>
      </c>
      <c r="N214" s="12">
        <v>80</v>
      </c>
    </row>
    <row r="215" spans="1:14">
      <c r="A215" s="25" t="s">
        <v>74</v>
      </c>
      <c r="B215" s="25" t="s">
        <v>44</v>
      </c>
      <c r="C215" s="2" t="s">
        <v>299</v>
      </c>
      <c r="D215" s="8" t="str">
        <f t="shared" si="18"/>
        <v>PO1509170085</v>
      </c>
      <c r="E215" s="8" t="str">
        <f>"9787506818933"</f>
        <v>9787506818933</v>
      </c>
      <c r="F215" s="21" t="s">
        <v>302</v>
      </c>
      <c r="G215" s="8" t="s">
        <v>303</v>
      </c>
      <c r="H215" s="9" t="s">
        <v>304</v>
      </c>
      <c r="I215" s="8" t="s">
        <v>305</v>
      </c>
      <c r="J215" s="10">
        <v>26.8</v>
      </c>
      <c r="K215" s="11">
        <v>39</v>
      </c>
      <c r="L215" s="74">
        <f t="shared" si="0"/>
        <v>1045.2</v>
      </c>
      <c r="M215" s="74">
        <f t="shared" si="2"/>
        <v>836.16000000000008</v>
      </c>
      <c r="N215" s="12">
        <v>80</v>
      </c>
    </row>
    <row r="216" spans="1:14">
      <c r="A216" s="25" t="s">
        <v>296</v>
      </c>
      <c r="B216" s="25" t="s">
        <v>44</v>
      </c>
      <c r="C216" s="2" t="s">
        <v>299</v>
      </c>
      <c r="D216" s="8" t="str">
        <f t="shared" si="18"/>
        <v>PO1509170085</v>
      </c>
      <c r="E216" s="8" t="str">
        <f>"9787310042838"</f>
        <v>9787310042838</v>
      </c>
      <c r="F216" s="21" t="s">
        <v>306</v>
      </c>
      <c r="G216" s="8" t="s">
        <v>307</v>
      </c>
      <c r="H216" s="9" t="s">
        <v>308</v>
      </c>
      <c r="I216" s="8" t="s">
        <v>309</v>
      </c>
      <c r="J216" s="10">
        <v>28</v>
      </c>
      <c r="K216" s="11">
        <v>39</v>
      </c>
      <c r="L216" s="74">
        <f t="shared" si="0"/>
        <v>1092</v>
      </c>
      <c r="M216" s="74">
        <f t="shared" si="2"/>
        <v>873.6</v>
      </c>
      <c r="N216" s="12">
        <v>80</v>
      </c>
    </row>
    <row r="217" spans="1:14">
      <c r="A217" s="25" t="s">
        <v>296</v>
      </c>
      <c r="B217" s="25" t="s">
        <v>297</v>
      </c>
      <c r="C217" s="2" t="s">
        <v>299</v>
      </c>
      <c r="D217" s="8" t="str">
        <f t="shared" si="18"/>
        <v>PO1509170085</v>
      </c>
      <c r="E217" s="8" t="str">
        <f>"9787564804596"</f>
        <v>9787564804596</v>
      </c>
      <c r="F217" s="21" t="s">
        <v>283</v>
      </c>
      <c r="G217" s="8" t="s">
        <v>87</v>
      </c>
      <c r="H217" s="9" t="s">
        <v>142</v>
      </c>
      <c r="I217" s="8" t="s">
        <v>282</v>
      </c>
      <c r="J217" s="10">
        <v>32</v>
      </c>
      <c r="K217" s="11">
        <v>39</v>
      </c>
      <c r="L217" s="74">
        <f t="shared" si="0"/>
        <v>1248</v>
      </c>
      <c r="M217" s="74">
        <f t="shared" si="2"/>
        <v>998.40000000000009</v>
      </c>
      <c r="N217" s="12">
        <v>80</v>
      </c>
    </row>
    <row r="218" spans="1:14">
      <c r="A218" s="25" t="s">
        <v>296</v>
      </c>
      <c r="B218" s="25" t="s">
        <v>297</v>
      </c>
      <c r="C218" s="2" t="s">
        <v>299</v>
      </c>
      <c r="D218" s="8" t="str">
        <f t="shared" si="18"/>
        <v>PO1509170085</v>
      </c>
      <c r="E218" s="8" t="str">
        <f>"9787313080844"</f>
        <v>9787313080844</v>
      </c>
      <c r="F218" s="21" t="s">
        <v>310</v>
      </c>
      <c r="G218" s="8" t="s">
        <v>311</v>
      </c>
      <c r="H218" s="9" t="s">
        <v>241</v>
      </c>
      <c r="I218" s="8" t="s">
        <v>312</v>
      </c>
      <c r="J218" s="10">
        <v>32</v>
      </c>
      <c r="K218" s="11">
        <v>39</v>
      </c>
      <c r="L218" s="74">
        <f t="shared" si="0"/>
        <v>1248</v>
      </c>
      <c r="M218" s="74">
        <f t="shared" si="2"/>
        <v>998.40000000000009</v>
      </c>
      <c r="N218" s="12">
        <v>80</v>
      </c>
    </row>
    <row r="219" spans="1:14">
      <c r="A219" s="25" t="s">
        <v>296</v>
      </c>
      <c r="B219" s="25" t="s">
        <v>297</v>
      </c>
      <c r="C219" s="2" t="s">
        <v>299</v>
      </c>
      <c r="D219" s="8" t="str">
        <f t="shared" si="18"/>
        <v>PO1509170085</v>
      </c>
      <c r="E219" s="8" t="str">
        <f>"9787040406801"</f>
        <v>9787040406801</v>
      </c>
      <c r="F219" s="21" t="s">
        <v>313</v>
      </c>
      <c r="G219" s="8" t="s">
        <v>214</v>
      </c>
      <c r="H219" s="9" t="s">
        <v>136</v>
      </c>
      <c r="I219" s="8" t="s">
        <v>314</v>
      </c>
      <c r="J219" s="10">
        <v>35</v>
      </c>
      <c r="K219" s="11">
        <v>39</v>
      </c>
      <c r="L219" s="74">
        <f t="shared" si="0"/>
        <v>1365</v>
      </c>
      <c r="M219" s="74">
        <f t="shared" si="2"/>
        <v>1092</v>
      </c>
      <c r="N219" s="12">
        <v>80</v>
      </c>
    </row>
    <row r="220" spans="1:14">
      <c r="A220" s="25" t="s">
        <v>74</v>
      </c>
      <c r="B220" s="25" t="s">
        <v>44</v>
      </c>
      <c r="C220" s="2" t="s">
        <v>299</v>
      </c>
      <c r="D220" s="8" t="str">
        <f t="shared" si="18"/>
        <v>PO1509170085</v>
      </c>
      <c r="E220" s="8" t="str">
        <f>"9787504179296"</f>
        <v>9787504179296</v>
      </c>
      <c r="F220" s="21" t="s">
        <v>279</v>
      </c>
      <c r="G220" s="8" t="s">
        <v>278</v>
      </c>
      <c r="H220" s="9" t="s">
        <v>273</v>
      </c>
      <c r="I220" s="8" t="s">
        <v>277</v>
      </c>
      <c r="J220" s="10">
        <v>38.799999999999997</v>
      </c>
      <c r="K220" s="11">
        <v>39</v>
      </c>
      <c r="L220" s="74">
        <f t="shared" si="0"/>
        <v>1513.1999999999998</v>
      </c>
      <c r="M220" s="74">
        <f t="shared" si="2"/>
        <v>1210.56</v>
      </c>
      <c r="N220" s="12">
        <v>80</v>
      </c>
    </row>
    <row r="221" spans="1:14">
      <c r="A221" s="25" t="s">
        <v>315</v>
      </c>
      <c r="B221" s="25" t="s">
        <v>297</v>
      </c>
      <c r="C221" s="2" t="s">
        <v>298</v>
      </c>
      <c r="D221" s="8" t="str">
        <f t="shared" si="18"/>
        <v>PO1509170085</v>
      </c>
      <c r="E221" s="8" t="str">
        <f>"9787310042401"</f>
        <v>9787310042401</v>
      </c>
      <c r="F221" s="21" t="s">
        <v>316</v>
      </c>
      <c r="G221" s="8" t="s">
        <v>307</v>
      </c>
      <c r="H221" s="9" t="s">
        <v>273</v>
      </c>
      <c r="I221" s="8" t="s">
        <v>317</v>
      </c>
      <c r="J221" s="10">
        <v>39</v>
      </c>
      <c r="K221" s="11">
        <v>39</v>
      </c>
      <c r="L221" s="74">
        <f t="shared" si="0"/>
        <v>1521</v>
      </c>
      <c r="M221" s="74">
        <f t="shared" si="2"/>
        <v>1216.8</v>
      </c>
      <c r="N221" s="12">
        <v>80</v>
      </c>
    </row>
    <row r="222" spans="1:14">
      <c r="A222" s="25" t="s">
        <v>74</v>
      </c>
      <c r="B222" s="25" t="s">
        <v>44</v>
      </c>
      <c r="C222" s="2" t="s">
        <v>298</v>
      </c>
      <c r="D222" s="8" t="s">
        <v>375</v>
      </c>
      <c r="E222" s="8" t="s">
        <v>375</v>
      </c>
      <c r="F222" s="31" t="s">
        <v>383</v>
      </c>
      <c r="G222" s="8" t="s">
        <v>389</v>
      </c>
      <c r="H222" s="8" t="s">
        <v>376</v>
      </c>
      <c r="I222" s="8" t="s">
        <v>376</v>
      </c>
      <c r="J222" s="32">
        <v>16</v>
      </c>
      <c r="K222" s="11">
        <v>39</v>
      </c>
      <c r="L222" s="74">
        <f t="shared" si="0"/>
        <v>624</v>
      </c>
      <c r="M222" s="74">
        <f t="shared" ref="M222:M227" si="19">L222*1</f>
        <v>624</v>
      </c>
      <c r="N222" s="12">
        <v>100</v>
      </c>
    </row>
    <row r="223" spans="1:14">
      <c r="A223" s="25" t="s">
        <v>74</v>
      </c>
      <c r="B223" s="25" t="s">
        <v>44</v>
      </c>
      <c r="C223" s="2" t="s">
        <v>298</v>
      </c>
      <c r="D223" s="8" t="s">
        <v>375</v>
      </c>
      <c r="E223" s="8" t="s">
        <v>375</v>
      </c>
      <c r="F223" s="31" t="s">
        <v>384</v>
      </c>
      <c r="G223" s="8" t="s">
        <v>390</v>
      </c>
      <c r="H223" s="8" t="s">
        <v>376</v>
      </c>
      <c r="I223" s="8" t="s">
        <v>376</v>
      </c>
      <c r="J223" s="32">
        <v>18</v>
      </c>
      <c r="K223" s="11">
        <v>39</v>
      </c>
      <c r="L223" s="74">
        <f t="shared" si="0"/>
        <v>702</v>
      </c>
      <c r="M223" s="74">
        <f t="shared" si="19"/>
        <v>702</v>
      </c>
      <c r="N223" s="12">
        <v>100</v>
      </c>
    </row>
    <row r="224" spans="1:14">
      <c r="A224" s="25" t="s">
        <v>74</v>
      </c>
      <c r="B224" s="25" t="s">
        <v>44</v>
      </c>
      <c r="C224" s="2" t="s">
        <v>298</v>
      </c>
      <c r="D224" s="8" t="s">
        <v>375</v>
      </c>
      <c r="E224" s="8" t="s">
        <v>375</v>
      </c>
      <c r="F224" s="33" t="s">
        <v>385</v>
      </c>
      <c r="G224" s="8" t="s">
        <v>376</v>
      </c>
      <c r="H224" s="8" t="s">
        <v>376</v>
      </c>
      <c r="I224" s="8" t="s">
        <v>376</v>
      </c>
      <c r="J224" s="34">
        <v>14.6</v>
      </c>
      <c r="K224" s="11">
        <v>39</v>
      </c>
      <c r="L224" s="74">
        <f t="shared" si="0"/>
        <v>569.4</v>
      </c>
      <c r="M224" s="74">
        <f t="shared" si="19"/>
        <v>569.4</v>
      </c>
      <c r="N224" s="12">
        <v>100</v>
      </c>
    </row>
    <row r="225" spans="1:14">
      <c r="A225" s="25" t="s">
        <v>74</v>
      </c>
      <c r="B225" s="25" t="s">
        <v>44</v>
      </c>
      <c r="C225" s="2" t="s">
        <v>298</v>
      </c>
      <c r="D225" s="8" t="s">
        <v>375</v>
      </c>
      <c r="E225" s="8" t="s">
        <v>375</v>
      </c>
      <c r="F225" s="33" t="s">
        <v>386</v>
      </c>
      <c r="G225" s="8" t="s">
        <v>376</v>
      </c>
      <c r="H225" s="8" t="s">
        <v>376</v>
      </c>
      <c r="I225" s="8" t="s">
        <v>376</v>
      </c>
      <c r="J225" s="34">
        <v>5</v>
      </c>
      <c r="K225" s="11">
        <v>39</v>
      </c>
      <c r="L225" s="74">
        <f t="shared" si="0"/>
        <v>195</v>
      </c>
      <c r="M225" s="74">
        <f t="shared" si="19"/>
        <v>195</v>
      </c>
      <c r="N225" s="12">
        <v>100</v>
      </c>
    </row>
    <row r="226" spans="1:14">
      <c r="A226" s="25" t="s">
        <v>74</v>
      </c>
      <c r="B226" s="25" t="s">
        <v>44</v>
      </c>
      <c r="C226" s="2" t="s">
        <v>298</v>
      </c>
      <c r="D226" s="8" t="s">
        <v>375</v>
      </c>
      <c r="E226" s="8" t="s">
        <v>375</v>
      </c>
      <c r="F226" s="35" t="s">
        <v>387</v>
      </c>
      <c r="G226" s="8" t="s">
        <v>376</v>
      </c>
      <c r="H226" s="8" t="s">
        <v>376</v>
      </c>
      <c r="I226" s="8" t="s">
        <v>376</v>
      </c>
      <c r="J226" s="36">
        <v>6.5</v>
      </c>
      <c r="K226" s="11">
        <v>39</v>
      </c>
      <c r="L226" s="74">
        <f t="shared" si="0"/>
        <v>253.5</v>
      </c>
      <c r="M226" s="74">
        <f t="shared" si="19"/>
        <v>253.5</v>
      </c>
      <c r="N226" s="12">
        <v>100</v>
      </c>
    </row>
    <row r="227" spans="1:14">
      <c r="A227" s="25" t="s">
        <v>74</v>
      </c>
      <c r="B227" s="25" t="s">
        <v>44</v>
      </c>
      <c r="C227" s="2" t="s">
        <v>298</v>
      </c>
      <c r="D227" s="8" t="s">
        <v>375</v>
      </c>
      <c r="E227" s="8" t="s">
        <v>375</v>
      </c>
      <c r="F227" s="35" t="s">
        <v>388</v>
      </c>
      <c r="G227" s="8" t="s">
        <v>376</v>
      </c>
      <c r="H227" s="8" t="s">
        <v>376</v>
      </c>
      <c r="I227" s="8" t="s">
        <v>376</v>
      </c>
      <c r="J227" s="36">
        <v>2.2999999999999998</v>
      </c>
      <c r="K227" s="11">
        <v>39</v>
      </c>
      <c r="L227" s="74">
        <f t="shared" si="0"/>
        <v>89.699999999999989</v>
      </c>
      <c r="M227" s="74">
        <f t="shared" si="19"/>
        <v>89.699999999999989</v>
      </c>
      <c r="N227" s="12">
        <v>100</v>
      </c>
    </row>
    <row r="228" spans="1:14">
      <c r="A228" s="152" t="s">
        <v>442</v>
      </c>
      <c r="B228" s="153"/>
      <c r="C228" s="153"/>
      <c r="D228" s="153"/>
      <c r="E228" s="153"/>
      <c r="F228" s="153"/>
      <c r="G228" s="153"/>
      <c r="H228" s="153"/>
      <c r="I228" s="153"/>
      <c r="J228" s="154"/>
      <c r="K228" s="53">
        <f>SUM(K213:K227)</f>
        <v>585</v>
      </c>
      <c r="L228" s="79">
        <f t="shared" ref="L228:M228" si="20">SUM(L213:L227)</f>
        <v>13728.000000000002</v>
      </c>
      <c r="M228" s="79">
        <f t="shared" si="20"/>
        <v>11469.119999999999</v>
      </c>
      <c r="N228" s="54"/>
    </row>
    <row r="229" spans="1:14">
      <c r="A229" s="80"/>
      <c r="B229" s="80"/>
      <c r="C229" s="98"/>
      <c r="D229" s="83"/>
      <c r="E229" s="83"/>
      <c r="F229" s="123"/>
      <c r="G229" s="83"/>
      <c r="H229" s="83"/>
      <c r="I229" s="83"/>
      <c r="J229" s="124"/>
      <c r="K229" s="84"/>
      <c r="L229" s="85"/>
      <c r="M229" s="85"/>
      <c r="N229" s="86"/>
    </row>
    <row r="230" spans="1:14" ht="14.25">
      <c r="A230" s="88" t="s">
        <v>444</v>
      </c>
      <c r="B230" s="64"/>
      <c r="C230" s="96"/>
      <c r="D230" s="67"/>
      <c r="E230" s="67"/>
      <c r="F230" s="121"/>
      <c r="G230" s="67"/>
      <c r="H230" s="67"/>
      <c r="I230" s="67"/>
      <c r="J230" s="122"/>
      <c r="K230" s="71"/>
      <c r="L230" s="75"/>
      <c r="M230" s="75"/>
      <c r="N230" s="72"/>
    </row>
    <row r="231" spans="1:14" ht="14.25">
      <c r="A231" s="88" t="s">
        <v>443</v>
      </c>
      <c r="B231" s="64"/>
      <c r="C231" s="96"/>
      <c r="D231" s="67"/>
      <c r="E231" s="67"/>
      <c r="F231" s="121"/>
      <c r="G231" s="67"/>
      <c r="H231" s="67"/>
      <c r="I231" s="67"/>
      <c r="J231" s="122"/>
      <c r="K231" s="71"/>
      <c r="L231" s="75"/>
      <c r="M231" s="75"/>
      <c r="N231" s="72"/>
    </row>
    <row r="232" spans="1:14">
      <c r="A232" s="64"/>
      <c r="B232" s="64"/>
      <c r="C232" s="96"/>
      <c r="D232" s="67"/>
      <c r="E232" s="67"/>
      <c r="F232" s="121"/>
      <c r="G232" s="67"/>
      <c r="H232" s="67"/>
      <c r="I232" s="67"/>
      <c r="J232" s="122"/>
      <c r="K232" s="71"/>
      <c r="L232" s="75"/>
      <c r="M232" s="75"/>
      <c r="N232" s="72"/>
    </row>
    <row r="233" spans="1:14">
      <c r="A233" s="64"/>
      <c r="B233" s="64"/>
      <c r="C233" s="96"/>
      <c r="D233" s="67"/>
      <c r="E233" s="67"/>
      <c r="F233" s="121"/>
      <c r="G233" s="67"/>
      <c r="H233" s="67"/>
      <c r="I233" s="67"/>
      <c r="J233" s="122"/>
      <c r="K233" s="71"/>
      <c r="L233" s="75"/>
      <c r="M233" s="75"/>
      <c r="N233" s="72"/>
    </row>
    <row r="234" spans="1:14">
      <c r="A234" s="64"/>
      <c r="B234" s="64"/>
      <c r="C234" s="96"/>
      <c r="D234" s="67"/>
      <c r="E234" s="67"/>
      <c r="F234" s="121"/>
      <c r="G234" s="67"/>
      <c r="H234" s="67"/>
      <c r="I234" s="67"/>
      <c r="J234" s="122"/>
      <c r="K234" s="71"/>
      <c r="L234" s="75"/>
      <c r="M234" s="75"/>
      <c r="N234" s="72"/>
    </row>
    <row r="235" spans="1:14">
      <c r="A235" s="64"/>
      <c r="B235" s="64"/>
      <c r="C235" s="96"/>
      <c r="D235" s="67"/>
      <c r="E235" s="67"/>
      <c r="F235" s="121"/>
      <c r="G235" s="67"/>
      <c r="H235" s="67"/>
      <c r="I235" s="67"/>
      <c r="J235" s="122"/>
      <c r="K235" s="71"/>
      <c r="L235" s="75"/>
      <c r="M235" s="75"/>
      <c r="N235" s="72"/>
    </row>
    <row r="236" spans="1:14">
      <c r="A236" s="99"/>
      <c r="B236" s="99"/>
      <c r="C236" s="100"/>
      <c r="D236" s="101"/>
      <c r="E236" s="101"/>
      <c r="F236" s="125"/>
      <c r="G236" s="101"/>
      <c r="H236" s="101"/>
      <c r="I236" s="101"/>
      <c r="J236" s="126"/>
      <c r="K236" s="105"/>
      <c r="L236" s="106"/>
      <c r="M236" s="106"/>
      <c r="N236" s="107"/>
    </row>
    <row r="237" spans="1:14">
      <c r="A237" s="25" t="s">
        <v>76</v>
      </c>
      <c r="B237" s="7" t="s">
        <v>1</v>
      </c>
      <c r="C237" s="7" t="s">
        <v>284</v>
      </c>
      <c r="D237" s="27" t="s">
        <v>0</v>
      </c>
      <c r="E237" s="27" t="s">
        <v>3</v>
      </c>
      <c r="F237" s="27" t="s">
        <v>4</v>
      </c>
      <c r="G237" s="28" t="s">
        <v>5</v>
      </c>
      <c r="H237" s="27" t="s">
        <v>6</v>
      </c>
      <c r="I237" s="27" t="s">
        <v>7</v>
      </c>
      <c r="J237" s="27" t="s">
        <v>8</v>
      </c>
      <c r="K237" s="27" t="s">
        <v>393</v>
      </c>
      <c r="L237" s="73" t="s">
        <v>394</v>
      </c>
      <c r="M237" s="73" t="s">
        <v>395</v>
      </c>
      <c r="N237" s="29" t="s">
        <v>9</v>
      </c>
    </row>
    <row r="238" spans="1:14">
      <c r="A238" s="4" t="s">
        <v>288</v>
      </c>
      <c r="B238" s="20" t="s">
        <v>10</v>
      </c>
      <c r="C238" s="5" t="s">
        <v>53</v>
      </c>
      <c r="D238" s="22" t="str">
        <f>"PO1509090009"</f>
        <v>PO1509090009</v>
      </c>
      <c r="E238" s="22" t="str">
        <f>"9787561546611.001"</f>
        <v>9787561546611.001</v>
      </c>
      <c r="F238" s="23" t="s">
        <v>294</v>
      </c>
      <c r="G238" s="8" t="s">
        <v>164</v>
      </c>
      <c r="H238" s="9" t="s">
        <v>98</v>
      </c>
      <c r="I238" s="8" t="s">
        <v>295</v>
      </c>
      <c r="J238" s="10">
        <v>32</v>
      </c>
      <c r="K238" s="11">
        <v>59</v>
      </c>
      <c r="L238" s="74">
        <f t="shared" si="0"/>
        <v>1888</v>
      </c>
      <c r="M238" s="74">
        <f t="shared" ref="M238:M343" si="21">L238*0.8</f>
        <v>1510.4</v>
      </c>
      <c r="N238" s="12">
        <v>80</v>
      </c>
    </row>
    <row r="239" spans="1:14">
      <c r="A239" s="25" t="s">
        <v>74</v>
      </c>
      <c r="B239" s="25" t="s">
        <v>10</v>
      </c>
      <c r="C239" s="2" t="s">
        <v>318</v>
      </c>
      <c r="D239" s="8" t="str">
        <f t="shared" ref="D239:D246" si="22">"PO1509170086"</f>
        <v>PO1509170086</v>
      </c>
      <c r="E239" s="8" t="str">
        <f>"9787040332575"</f>
        <v>9787040332575</v>
      </c>
      <c r="F239" s="21" t="s">
        <v>300</v>
      </c>
      <c r="G239" s="8" t="s">
        <v>214</v>
      </c>
      <c r="H239" s="9" t="s">
        <v>145</v>
      </c>
      <c r="I239" s="8" t="s">
        <v>301</v>
      </c>
      <c r="J239" s="10">
        <v>26</v>
      </c>
      <c r="K239" s="11">
        <v>59</v>
      </c>
      <c r="L239" s="74">
        <f t="shared" si="0"/>
        <v>1534</v>
      </c>
      <c r="M239" s="74">
        <f t="shared" si="21"/>
        <v>1227.2</v>
      </c>
      <c r="N239" s="12">
        <v>80</v>
      </c>
    </row>
    <row r="240" spans="1:14">
      <c r="A240" s="25" t="s">
        <v>74</v>
      </c>
      <c r="B240" s="25" t="s">
        <v>10</v>
      </c>
      <c r="C240" s="2" t="s">
        <v>318</v>
      </c>
      <c r="D240" s="8" t="str">
        <f t="shared" si="22"/>
        <v>PO1509170086</v>
      </c>
      <c r="E240" s="8" t="str">
        <f>"9787506818933"</f>
        <v>9787506818933</v>
      </c>
      <c r="F240" s="21" t="s">
        <v>302</v>
      </c>
      <c r="G240" s="8" t="s">
        <v>303</v>
      </c>
      <c r="H240" s="9" t="s">
        <v>304</v>
      </c>
      <c r="I240" s="8" t="s">
        <v>305</v>
      </c>
      <c r="J240" s="10">
        <v>26.8</v>
      </c>
      <c r="K240" s="11">
        <v>59</v>
      </c>
      <c r="L240" s="74">
        <f t="shared" ref="L240:L346" si="23">J240*K240</f>
        <v>1581.2</v>
      </c>
      <c r="M240" s="74">
        <f t="shared" si="21"/>
        <v>1264.96</v>
      </c>
      <c r="N240" s="12">
        <v>80</v>
      </c>
    </row>
    <row r="241" spans="1:14">
      <c r="A241" s="25" t="s">
        <v>319</v>
      </c>
      <c r="B241" s="25" t="s">
        <v>10</v>
      </c>
      <c r="C241" s="2" t="s">
        <v>318</v>
      </c>
      <c r="D241" s="8" t="str">
        <f t="shared" si="22"/>
        <v>PO1509170086</v>
      </c>
      <c r="E241" s="8" t="str">
        <f>"9787310042838"</f>
        <v>9787310042838</v>
      </c>
      <c r="F241" s="21" t="s">
        <v>306</v>
      </c>
      <c r="G241" s="8" t="s">
        <v>307</v>
      </c>
      <c r="H241" s="9" t="s">
        <v>308</v>
      </c>
      <c r="I241" s="8" t="s">
        <v>309</v>
      </c>
      <c r="J241" s="10">
        <v>28</v>
      </c>
      <c r="K241" s="11">
        <v>59</v>
      </c>
      <c r="L241" s="74">
        <f t="shared" si="23"/>
        <v>1652</v>
      </c>
      <c r="M241" s="74">
        <f t="shared" si="21"/>
        <v>1321.6000000000001</v>
      </c>
      <c r="N241" s="12">
        <v>80</v>
      </c>
    </row>
    <row r="242" spans="1:14">
      <c r="A242" s="25" t="s">
        <v>320</v>
      </c>
      <c r="B242" s="25" t="s">
        <v>10</v>
      </c>
      <c r="C242" s="2" t="s">
        <v>318</v>
      </c>
      <c r="D242" s="8" t="str">
        <f t="shared" si="22"/>
        <v>PO1509170086</v>
      </c>
      <c r="E242" s="8" t="str">
        <f>"9787564804596"</f>
        <v>9787564804596</v>
      </c>
      <c r="F242" s="21" t="s">
        <v>283</v>
      </c>
      <c r="G242" s="8" t="s">
        <v>87</v>
      </c>
      <c r="H242" s="9" t="s">
        <v>142</v>
      </c>
      <c r="I242" s="8" t="s">
        <v>282</v>
      </c>
      <c r="J242" s="10">
        <v>32</v>
      </c>
      <c r="K242" s="11">
        <v>59</v>
      </c>
      <c r="L242" s="74">
        <f t="shared" si="23"/>
        <v>1888</v>
      </c>
      <c r="M242" s="74">
        <f t="shared" si="21"/>
        <v>1510.4</v>
      </c>
      <c r="N242" s="12">
        <v>80</v>
      </c>
    </row>
    <row r="243" spans="1:14">
      <c r="A243" s="25" t="s">
        <v>315</v>
      </c>
      <c r="B243" s="25" t="s">
        <v>10</v>
      </c>
      <c r="C243" s="2" t="s">
        <v>318</v>
      </c>
      <c r="D243" s="8" t="str">
        <f t="shared" si="22"/>
        <v>PO1509170086</v>
      </c>
      <c r="E243" s="8" t="str">
        <f>"9787313080844"</f>
        <v>9787313080844</v>
      </c>
      <c r="F243" s="21" t="s">
        <v>310</v>
      </c>
      <c r="G243" s="8" t="s">
        <v>311</v>
      </c>
      <c r="H243" s="9" t="s">
        <v>241</v>
      </c>
      <c r="I243" s="8" t="s">
        <v>312</v>
      </c>
      <c r="J243" s="10">
        <v>32</v>
      </c>
      <c r="K243" s="11">
        <v>59</v>
      </c>
      <c r="L243" s="74">
        <f t="shared" si="23"/>
        <v>1888</v>
      </c>
      <c r="M243" s="74">
        <f t="shared" si="21"/>
        <v>1510.4</v>
      </c>
      <c r="N243" s="12">
        <v>80</v>
      </c>
    </row>
    <row r="244" spans="1:14">
      <c r="A244" s="25" t="s">
        <v>74</v>
      </c>
      <c r="B244" s="25" t="s">
        <v>10</v>
      </c>
      <c r="C244" s="2" t="s">
        <v>318</v>
      </c>
      <c r="D244" s="8" t="str">
        <f t="shared" si="22"/>
        <v>PO1509170086</v>
      </c>
      <c r="E244" s="8" t="str">
        <f>"9787040406801"</f>
        <v>9787040406801</v>
      </c>
      <c r="F244" s="21" t="s">
        <v>313</v>
      </c>
      <c r="G244" s="8" t="s">
        <v>214</v>
      </c>
      <c r="H244" s="9" t="s">
        <v>136</v>
      </c>
      <c r="I244" s="8" t="s">
        <v>314</v>
      </c>
      <c r="J244" s="10">
        <v>35</v>
      </c>
      <c r="K244" s="11">
        <v>59</v>
      </c>
      <c r="L244" s="74">
        <f t="shared" si="23"/>
        <v>2065</v>
      </c>
      <c r="M244" s="74">
        <f t="shared" si="21"/>
        <v>1652</v>
      </c>
      <c r="N244" s="12">
        <v>80</v>
      </c>
    </row>
    <row r="245" spans="1:14">
      <c r="A245" s="25" t="s">
        <v>74</v>
      </c>
      <c r="B245" s="25" t="s">
        <v>10</v>
      </c>
      <c r="C245" s="2" t="s">
        <v>318</v>
      </c>
      <c r="D245" s="8" t="str">
        <f t="shared" si="22"/>
        <v>PO1509170086</v>
      </c>
      <c r="E245" s="8" t="str">
        <f>"9787504179296"</f>
        <v>9787504179296</v>
      </c>
      <c r="F245" s="21" t="s">
        <v>279</v>
      </c>
      <c r="G245" s="8" t="s">
        <v>278</v>
      </c>
      <c r="H245" s="9" t="s">
        <v>273</v>
      </c>
      <c r="I245" s="8" t="s">
        <v>277</v>
      </c>
      <c r="J245" s="10">
        <v>38.799999999999997</v>
      </c>
      <c r="K245" s="11">
        <v>59</v>
      </c>
      <c r="L245" s="74">
        <f t="shared" si="23"/>
        <v>2289.1999999999998</v>
      </c>
      <c r="M245" s="74">
        <f t="shared" si="21"/>
        <v>1831.36</v>
      </c>
      <c r="N245" s="12">
        <v>80</v>
      </c>
    </row>
    <row r="246" spans="1:14">
      <c r="A246" s="25" t="s">
        <v>74</v>
      </c>
      <c r="B246" s="25" t="s">
        <v>10</v>
      </c>
      <c r="C246" s="2" t="s">
        <v>318</v>
      </c>
      <c r="D246" s="8" t="str">
        <f t="shared" si="22"/>
        <v>PO1509170086</v>
      </c>
      <c r="E246" s="8" t="str">
        <f>"9787310042401"</f>
        <v>9787310042401</v>
      </c>
      <c r="F246" s="21" t="s">
        <v>316</v>
      </c>
      <c r="G246" s="8" t="s">
        <v>307</v>
      </c>
      <c r="H246" s="9" t="s">
        <v>273</v>
      </c>
      <c r="I246" s="8" t="s">
        <v>317</v>
      </c>
      <c r="J246" s="10">
        <v>39</v>
      </c>
      <c r="K246" s="11">
        <v>59</v>
      </c>
      <c r="L246" s="74">
        <f t="shared" si="23"/>
        <v>2301</v>
      </c>
      <c r="M246" s="74">
        <f t="shared" si="21"/>
        <v>1840.8000000000002</v>
      </c>
      <c r="N246" s="12">
        <v>80</v>
      </c>
    </row>
    <row r="247" spans="1:14">
      <c r="A247" s="25" t="s">
        <v>74</v>
      </c>
      <c r="B247" s="25" t="s">
        <v>10</v>
      </c>
      <c r="C247" s="2" t="s">
        <v>318</v>
      </c>
      <c r="D247" s="8" t="s">
        <v>375</v>
      </c>
      <c r="E247" s="8" t="s">
        <v>375</v>
      </c>
      <c r="F247" s="31" t="s">
        <v>383</v>
      </c>
      <c r="G247" s="8" t="s">
        <v>389</v>
      </c>
      <c r="H247" s="8" t="s">
        <v>376</v>
      </c>
      <c r="I247" s="8" t="s">
        <v>376</v>
      </c>
      <c r="J247" s="32">
        <v>16</v>
      </c>
      <c r="K247" s="11">
        <v>59</v>
      </c>
      <c r="L247" s="74">
        <f t="shared" si="23"/>
        <v>944</v>
      </c>
      <c r="M247" s="74">
        <f t="shared" ref="M247:M252" si="24">L247*1</f>
        <v>944</v>
      </c>
      <c r="N247" s="12">
        <v>100</v>
      </c>
    </row>
    <row r="248" spans="1:14">
      <c r="A248" s="25" t="s">
        <v>74</v>
      </c>
      <c r="B248" s="25" t="s">
        <v>10</v>
      </c>
      <c r="C248" s="2" t="s">
        <v>318</v>
      </c>
      <c r="D248" s="8" t="s">
        <v>375</v>
      </c>
      <c r="E248" s="8" t="s">
        <v>375</v>
      </c>
      <c r="F248" s="31" t="s">
        <v>384</v>
      </c>
      <c r="G248" s="8" t="s">
        <v>390</v>
      </c>
      <c r="H248" s="8" t="s">
        <v>376</v>
      </c>
      <c r="I248" s="8" t="s">
        <v>376</v>
      </c>
      <c r="J248" s="32">
        <v>18</v>
      </c>
      <c r="K248" s="11">
        <v>59</v>
      </c>
      <c r="L248" s="74">
        <f t="shared" si="23"/>
        <v>1062</v>
      </c>
      <c r="M248" s="74">
        <f t="shared" si="24"/>
        <v>1062</v>
      </c>
      <c r="N248" s="12">
        <v>100</v>
      </c>
    </row>
    <row r="249" spans="1:14">
      <c r="A249" s="25" t="s">
        <v>74</v>
      </c>
      <c r="B249" s="25" t="s">
        <v>10</v>
      </c>
      <c r="C249" s="2" t="s">
        <v>318</v>
      </c>
      <c r="D249" s="8" t="s">
        <v>375</v>
      </c>
      <c r="E249" s="8" t="s">
        <v>375</v>
      </c>
      <c r="F249" s="33" t="s">
        <v>385</v>
      </c>
      <c r="G249" s="8" t="s">
        <v>376</v>
      </c>
      <c r="H249" s="8" t="s">
        <v>376</v>
      </c>
      <c r="I249" s="8" t="s">
        <v>376</v>
      </c>
      <c r="J249" s="34">
        <v>14.6</v>
      </c>
      <c r="K249" s="11">
        <v>59</v>
      </c>
      <c r="L249" s="74">
        <f t="shared" si="23"/>
        <v>861.4</v>
      </c>
      <c r="M249" s="74">
        <f t="shared" si="24"/>
        <v>861.4</v>
      </c>
      <c r="N249" s="12">
        <v>100</v>
      </c>
    </row>
    <row r="250" spans="1:14">
      <c r="A250" s="25" t="s">
        <v>74</v>
      </c>
      <c r="B250" s="25" t="s">
        <v>10</v>
      </c>
      <c r="C250" s="2" t="s">
        <v>318</v>
      </c>
      <c r="D250" s="8" t="s">
        <v>375</v>
      </c>
      <c r="E250" s="8" t="s">
        <v>375</v>
      </c>
      <c r="F250" s="33" t="s">
        <v>386</v>
      </c>
      <c r="G250" s="8" t="s">
        <v>376</v>
      </c>
      <c r="H250" s="8" t="s">
        <v>376</v>
      </c>
      <c r="I250" s="8" t="s">
        <v>376</v>
      </c>
      <c r="J250" s="34">
        <v>5</v>
      </c>
      <c r="K250" s="11">
        <v>59</v>
      </c>
      <c r="L250" s="74">
        <f t="shared" si="23"/>
        <v>295</v>
      </c>
      <c r="M250" s="74">
        <f t="shared" si="24"/>
        <v>295</v>
      </c>
      <c r="N250" s="12">
        <v>100</v>
      </c>
    </row>
    <row r="251" spans="1:14">
      <c r="A251" s="25" t="s">
        <v>74</v>
      </c>
      <c r="B251" s="25" t="s">
        <v>10</v>
      </c>
      <c r="C251" s="2" t="s">
        <v>318</v>
      </c>
      <c r="D251" s="8" t="s">
        <v>375</v>
      </c>
      <c r="E251" s="8" t="s">
        <v>375</v>
      </c>
      <c r="F251" s="35" t="s">
        <v>387</v>
      </c>
      <c r="G251" s="8" t="s">
        <v>376</v>
      </c>
      <c r="H251" s="8" t="s">
        <v>376</v>
      </c>
      <c r="I251" s="8" t="s">
        <v>376</v>
      </c>
      <c r="J251" s="36">
        <v>6.5</v>
      </c>
      <c r="K251" s="11">
        <v>59</v>
      </c>
      <c r="L251" s="74">
        <f t="shared" si="23"/>
        <v>383.5</v>
      </c>
      <c r="M251" s="74">
        <f t="shared" si="24"/>
        <v>383.5</v>
      </c>
      <c r="N251" s="12">
        <v>100</v>
      </c>
    </row>
    <row r="252" spans="1:14">
      <c r="A252" s="25" t="s">
        <v>74</v>
      </c>
      <c r="B252" s="25" t="s">
        <v>10</v>
      </c>
      <c r="C252" s="2" t="s">
        <v>318</v>
      </c>
      <c r="D252" s="8" t="s">
        <v>375</v>
      </c>
      <c r="E252" s="8" t="s">
        <v>375</v>
      </c>
      <c r="F252" s="35" t="s">
        <v>388</v>
      </c>
      <c r="G252" s="8" t="s">
        <v>376</v>
      </c>
      <c r="H252" s="8" t="s">
        <v>376</v>
      </c>
      <c r="I252" s="8" t="s">
        <v>376</v>
      </c>
      <c r="J252" s="36">
        <v>2.2999999999999998</v>
      </c>
      <c r="K252" s="11">
        <v>59</v>
      </c>
      <c r="L252" s="74">
        <f t="shared" si="23"/>
        <v>135.69999999999999</v>
      </c>
      <c r="M252" s="74">
        <f t="shared" si="24"/>
        <v>135.69999999999999</v>
      </c>
      <c r="N252" s="12">
        <v>100</v>
      </c>
    </row>
    <row r="253" spans="1:14">
      <c r="A253" s="152" t="s">
        <v>442</v>
      </c>
      <c r="B253" s="153"/>
      <c r="C253" s="153"/>
      <c r="D253" s="153"/>
      <c r="E253" s="153"/>
      <c r="F253" s="153"/>
      <c r="G253" s="153"/>
      <c r="H253" s="153"/>
      <c r="I253" s="153"/>
      <c r="J253" s="154"/>
      <c r="K253" s="11">
        <f>SUM(K238:K252)</f>
        <v>885</v>
      </c>
      <c r="L253" s="74">
        <f t="shared" ref="L253:M253" si="25">SUM(L238:L252)</f>
        <v>20768.000000000004</v>
      </c>
      <c r="M253" s="74">
        <f t="shared" si="25"/>
        <v>17350.720000000005</v>
      </c>
      <c r="N253" s="12"/>
    </row>
    <row r="254" spans="1:14">
      <c r="A254" s="64"/>
      <c r="B254" s="64"/>
      <c r="C254" s="96"/>
      <c r="D254" s="67"/>
      <c r="E254" s="67"/>
      <c r="F254" s="121"/>
      <c r="G254" s="67"/>
      <c r="H254" s="67"/>
      <c r="I254" s="67"/>
      <c r="J254" s="122"/>
      <c r="K254" s="71"/>
      <c r="L254" s="75"/>
      <c r="M254" s="75"/>
      <c r="N254" s="72"/>
    </row>
    <row r="255" spans="1:14" ht="14.25">
      <c r="A255" s="88" t="s">
        <v>444</v>
      </c>
      <c r="B255" s="64"/>
      <c r="C255" s="96"/>
      <c r="D255" s="67"/>
      <c r="E255" s="67"/>
      <c r="F255" s="121"/>
      <c r="G255" s="67"/>
      <c r="H255" s="67"/>
      <c r="I255" s="67"/>
      <c r="J255" s="122"/>
      <c r="K255" s="71"/>
      <c r="L255" s="75"/>
      <c r="M255" s="75"/>
      <c r="N255" s="72"/>
    </row>
    <row r="256" spans="1:14" ht="14.25">
      <c r="A256" s="88" t="s">
        <v>443</v>
      </c>
      <c r="B256" s="64"/>
      <c r="C256" s="96"/>
      <c r="D256" s="67"/>
      <c r="E256" s="67"/>
      <c r="F256" s="121"/>
      <c r="G256" s="67"/>
      <c r="H256" s="67"/>
      <c r="I256" s="67"/>
      <c r="J256" s="122"/>
      <c r="K256" s="71"/>
      <c r="L256" s="75"/>
      <c r="M256" s="75"/>
      <c r="N256" s="72"/>
    </row>
    <row r="257" spans="1:14">
      <c r="A257" s="64"/>
      <c r="B257" s="64"/>
      <c r="C257" s="96"/>
      <c r="D257" s="67"/>
      <c r="E257" s="67"/>
      <c r="F257" s="121"/>
      <c r="G257" s="67"/>
      <c r="H257" s="67"/>
      <c r="I257" s="67"/>
      <c r="J257" s="122"/>
      <c r="K257" s="71"/>
      <c r="L257" s="75"/>
      <c r="M257" s="75"/>
      <c r="N257" s="72"/>
    </row>
    <row r="258" spans="1:14">
      <c r="A258" s="64"/>
      <c r="B258" s="64"/>
      <c r="C258" s="96"/>
      <c r="D258" s="67"/>
      <c r="E258" s="67"/>
      <c r="F258" s="121"/>
      <c r="G258" s="67"/>
      <c r="H258" s="67"/>
      <c r="I258" s="67"/>
      <c r="J258" s="122"/>
      <c r="K258" s="71"/>
      <c r="L258" s="75"/>
      <c r="M258" s="75"/>
      <c r="N258" s="72"/>
    </row>
    <row r="259" spans="1:14">
      <c r="A259" s="64"/>
      <c r="B259" s="64"/>
      <c r="C259" s="96"/>
      <c r="D259" s="67"/>
      <c r="E259" s="67"/>
      <c r="F259" s="121"/>
      <c r="G259" s="67"/>
      <c r="H259" s="67"/>
      <c r="I259" s="67"/>
      <c r="J259" s="122"/>
      <c r="K259" s="71"/>
      <c r="L259" s="75"/>
      <c r="M259" s="75"/>
      <c r="N259" s="72"/>
    </row>
    <row r="260" spans="1:14">
      <c r="A260" s="64"/>
      <c r="B260" s="64"/>
      <c r="C260" s="96"/>
      <c r="D260" s="67"/>
      <c r="E260" s="67"/>
      <c r="F260" s="121"/>
      <c r="G260" s="67"/>
      <c r="H260" s="67"/>
      <c r="I260" s="67"/>
      <c r="J260" s="122"/>
      <c r="K260" s="71"/>
      <c r="L260" s="75"/>
      <c r="M260" s="75"/>
      <c r="N260" s="72"/>
    </row>
    <row r="261" spans="1:14">
      <c r="A261" s="64"/>
      <c r="B261" s="64"/>
      <c r="C261" s="96"/>
      <c r="D261" s="67"/>
      <c r="E261" s="67"/>
      <c r="F261" s="121"/>
      <c r="G261" s="67"/>
      <c r="H261" s="67"/>
      <c r="I261" s="67"/>
      <c r="J261" s="122"/>
      <c r="K261" s="71"/>
      <c r="L261" s="75"/>
      <c r="M261" s="75"/>
      <c r="N261" s="72"/>
    </row>
    <row r="262" spans="1:14">
      <c r="A262" s="64"/>
      <c r="B262" s="64"/>
      <c r="C262" s="96"/>
      <c r="D262" s="67"/>
      <c r="E262" s="67"/>
      <c r="F262" s="121"/>
      <c r="G262" s="67"/>
      <c r="H262" s="67"/>
      <c r="I262" s="67"/>
      <c r="J262" s="122"/>
      <c r="K262" s="71"/>
      <c r="L262" s="75"/>
      <c r="M262" s="75"/>
      <c r="N262" s="72"/>
    </row>
    <row r="263" spans="1:14">
      <c r="A263" s="25" t="s">
        <v>76</v>
      </c>
      <c r="B263" s="7" t="s">
        <v>1</v>
      </c>
      <c r="C263" s="7" t="s">
        <v>284</v>
      </c>
      <c r="D263" s="27" t="s">
        <v>0</v>
      </c>
      <c r="E263" s="27" t="s">
        <v>3</v>
      </c>
      <c r="F263" s="27" t="s">
        <v>4</v>
      </c>
      <c r="G263" s="28" t="s">
        <v>5</v>
      </c>
      <c r="H263" s="27" t="s">
        <v>6</v>
      </c>
      <c r="I263" s="27" t="s">
        <v>7</v>
      </c>
      <c r="J263" s="27" t="s">
        <v>8</v>
      </c>
      <c r="K263" s="27" t="s">
        <v>393</v>
      </c>
      <c r="L263" s="73" t="s">
        <v>394</v>
      </c>
      <c r="M263" s="73" t="s">
        <v>395</v>
      </c>
      <c r="N263" s="29" t="s">
        <v>9</v>
      </c>
    </row>
    <row r="264" spans="1:14">
      <c r="A264" s="4" t="s">
        <v>288</v>
      </c>
      <c r="B264" s="20" t="s">
        <v>11</v>
      </c>
      <c r="C264" s="5" t="s">
        <v>54</v>
      </c>
      <c r="D264" s="22" t="str">
        <f>"PO1509090009"</f>
        <v>PO1509090009</v>
      </c>
      <c r="E264" s="22" t="str">
        <f>"9787561546611.001"</f>
        <v>9787561546611.001</v>
      </c>
      <c r="F264" s="23" t="s">
        <v>294</v>
      </c>
      <c r="G264" s="8" t="s">
        <v>164</v>
      </c>
      <c r="H264" s="9" t="s">
        <v>98</v>
      </c>
      <c r="I264" s="8" t="s">
        <v>295</v>
      </c>
      <c r="J264" s="10">
        <v>32</v>
      </c>
      <c r="K264" s="11">
        <v>44</v>
      </c>
      <c r="L264" s="74">
        <f t="shared" si="23"/>
        <v>1408</v>
      </c>
      <c r="M264" s="74">
        <f t="shared" si="21"/>
        <v>1126.4000000000001</v>
      </c>
      <c r="N264" s="12">
        <v>80</v>
      </c>
    </row>
    <row r="265" spans="1:14">
      <c r="A265" s="25" t="s">
        <v>315</v>
      </c>
      <c r="B265" s="25" t="s">
        <v>11</v>
      </c>
      <c r="C265" s="24" t="s">
        <v>321</v>
      </c>
      <c r="D265" s="8" t="str">
        <f t="shared" ref="D265:D272" si="26">"PO1509170087"</f>
        <v>PO1509170087</v>
      </c>
      <c r="E265" s="8" t="str">
        <f>"9787040332575"</f>
        <v>9787040332575</v>
      </c>
      <c r="F265" s="21" t="s">
        <v>300</v>
      </c>
      <c r="G265" s="8" t="s">
        <v>214</v>
      </c>
      <c r="H265" s="9" t="s">
        <v>145</v>
      </c>
      <c r="I265" s="8" t="s">
        <v>301</v>
      </c>
      <c r="J265" s="10">
        <v>26</v>
      </c>
      <c r="K265" s="11">
        <v>44</v>
      </c>
      <c r="L265" s="74">
        <f t="shared" si="23"/>
        <v>1144</v>
      </c>
      <c r="M265" s="74">
        <f t="shared" si="21"/>
        <v>915.2</v>
      </c>
      <c r="N265" s="12">
        <v>80</v>
      </c>
    </row>
    <row r="266" spans="1:14">
      <c r="A266" s="25" t="s">
        <v>320</v>
      </c>
      <c r="B266" s="25" t="s">
        <v>11</v>
      </c>
      <c r="C266" s="24" t="s">
        <v>321</v>
      </c>
      <c r="D266" s="8" t="str">
        <f t="shared" si="26"/>
        <v>PO1509170087</v>
      </c>
      <c r="E266" s="8" t="str">
        <f>"9787506818933"</f>
        <v>9787506818933</v>
      </c>
      <c r="F266" s="21" t="s">
        <v>302</v>
      </c>
      <c r="G266" s="8" t="s">
        <v>303</v>
      </c>
      <c r="H266" s="9" t="s">
        <v>304</v>
      </c>
      <c r="I266" s="8" t="s">
        <v>305</v>
      </c>
      <c r="J266" s="10">
        <v>26.8</v>
      </c>
      <c r="K266" s="11">
        <v>44</v>
      </c>
      <c r="L266" s="74">
        <f t="shared" si="23"/>
        <v>1179.2</v>
      </c>
      <c r="M266" s="74">
        <f t="shared" si="21"/>
        <v>943.36000000000013</v>
      </c>
      <c r="N266" s="12">
        <v>80</v>
      </c>
    </row>
    <row r="267" spans="1:14">
      <c r="A267" s="25" t="s">
        <v>74</v>
      </c>
      <c r="B267" s="25" t="s">
        <v>11</v>
      </c>
      <c r="C267" s="24" t="s">
        <v>321</v>
      </c>
      <c r="D267" s="8" t="str">
        <f t="shared" si="26"/>
        <v>PO1509170087</v>
      </c>
      <c r="E267" s="8" t="str">
        <f>"9787310042838"</f>
        <v>9787310042838</v>
      </c>
      <c r="F267" s="21" t="s">
        <v>306</v>
      </c>
      <c r="G267" s="8" t="s">
        <v>307</v>
      </c>
      <c r="H267" s="9" t="s">
        <v>308</v>
      </c>
      <c r="I267" s="8" t="s">
        <v>309</v>
      </c>
      <c r="J267" s="10">
        <v>28</v>
      </c>
      <c r="K267" s="11">
        <v>44</v>
      </c>
      <c r="L267" s="74">
        <f t="shared" si="23"/>
        <v>1232</v>
      </c>
      <c r="M267" s="74">
        <f t="shared" si="21"/>
        <v>985.6</v>
      </c>
      <c r="N267" s="12">
        <v>80</v>
      </c>
    </row>
    <row r="268" spans="1:14">
      <c r="A268" s="25" t="s">
        <v>74</v>
      </c>
      <c r="B268" s="25" t="s">
        <v>11</v>
      </c>
      <c r="C268" s="24" t="s">
        <v>321</v>
      </c>
      <c r="D268" s="8" t="str">
        <f t="shared" si="26"/>
        <v>PO1509170087</v>
      </c>
      <c r="E268" s="8" t="str">
        <f>"9787564804596"</f>
        <v>9787564804596</v>
      </c>
      <c r="F268" s="21" t="s">
        <v>283</v>
      </c>
      <c r="G268" s="8" t="s">
        <v>87</v>
      </c>
      <c r="H268" s="9" t="s">
        <v>142</v>
      </c>
      <c r="I268" s="8" t="s">
        <v>282</v>
      </c>
      <c r="J268" s="10">
        <v>32</v>
      </c>
      <c r="K268" s="11">
        <v>44</v>
      </c>
      <c r="L268" s="74">
        <f t="shared" si="23"/>
        <v>1408</v>
      </c>
      <c r="M268" s="74">
        <f t="shared" si="21"/>
        <v>1126.4000000000001</v>
      </c>
      <c r="N268" s="12">
        <v>80</v>
      </c>
    </row>
    <row r="269" spans="1:14">
      <c r="A269" s="25" t="s">
        <v>74</v>
      </c>
      <c r="B269" s="25" t="s">
        <v>11</v>
      </c>
      <c r="C269" s="24" t="s">
        <v>322</v>
      </c>
      <c r="D269" s="8" t="str">
        <f t="shared" si="26"/>
        <v>PO1509170087</v>
      </c>
      <c r="E269" s="8" t="str">
        <f>"9787313080844"</f>
        <v>9787313080844</v>
      </c>
      <c r="F269" s="21" t="s">
        <v>310</v>
      </c>
      <c r="G269" s="8" t="s">
        <v>311</v>
      </c>
      <c r="H269" s="9" t="s">
        <v>241</v>
      </c>
      <c r="I269" s="8" t="s">
        <v>312</v>
      </c>
      <c r="J269" s="10">
        <v>32</v>
      </c>
      <c r="K269" s="11">
        <v>44</v>
      </c>
      <c r="L269" s="74">
        <f t="shared" si="23"/>
        <v>1408</v>
      </c>
      <c r="M269" s="74">
        <f t="shared" si="21"/>
        <v>1126.4000000000001</v>
      </c>
      <c r="N269" s="12">
        <v>80</v>
      </c>
    </row>
    <row r="270" spans="1:14">
      <c r="A270" s="25" t="s">
        <v>74</v>
      </c>
      <c r="B270" s="25" t="s">
        <v>11</v>
      </c>
      <c r="C270" s="24" t="s">
        <v>321</v>
      </c>
      <c r="D270" s="8" t="str">
        <f t="shared" si="26"/>
        <v>PO1509170087</v>
      </c>
      <c r="E270" s="8" t="str">
        <f>"9787040406801"</f>
        <v>9787040406801</v>
      </c>
      <c r="F270" s="21" t="s">
        <v>313</v>
      </c>
      <c r="G270" s="8" t="s">
        <v>214</v>
      </c>
      <c r="H270" s="9" t="s">
        <v>136</v>
      </c>
      <c r="I270" s="8" t="s">
        <v>314</v>
      </c>
      <c r="J270" s="10">
        <v>35</v>
      </c>
      <c r="K270" s="11">
        <v>44</v>
      </c>
      <c r="L270" s="74">
        <f t="shared" si="23"/>
        <v>1540</v>
      </c>
      <c r="M270" s="74">
        <f t="shared" si="21"/>
        <v>1232</v>
      </c>
      <c r="N270" s="12">
        <v>80</v>
      </c>
    </row>
    <row r="271" spans="1:14">
      <c r="A271" s="25" t="s">
        <v>315</v>
      </c>
      <c r="B271" s="25" t="s">
        <v>11</v>
      </c>
      <c r="C271" s="24" t="s">
        <v>323</v>
      </c>
      <c r="D271" s="8" t="str">
        <f t="shared" si="26"/>
        <v>PO1509170087</v>
      </c>
      <c r="E271" s="8" t="str">
        <f>"9787504179296"</f>
        <v>9787504179296</v>
      </c>
      <c r="F271" s="21" t="s">
        <v>279</v>
      </c>
      <c r="G271" s="8" t="s">
        <v>278</v>
      </c>
      <c r="H271" s="9" t="s">
        <v>273</v>
      </c>
      <c r="I271" s="8" t="s">
        <v>277</v>
      </c>
      <c r="J271" s="10">
        <v>38.799999999999997</v>
      </c>
      <c r="K271" s="11">
        <v>44</v>
      </c>
      <c r="L271" s="74">
        <f t="shared" si="23"/>
        <v>1707.1999999999998</v>
      </c>
      <c r="M271" s="74">
        <f t="shared" si="21"/>
        <v>1365.76</v>
      </c>
      <c r="N271" s="12">
        <v>80</v>
      </c>
    </row>
    <row r="272" spans="1:14">
      <c r="A272" s="25" t="s">
        <v>74</v>
      </c>
      <c r="B272" s="25" t="s">
        <v>11</v>
      </c>
      <c r="C272" s="24" t="s">
        <v>322</v>
      </c>
      <c r="D272" s="8" t="str">
        <f t="shared" si="26"/>
        <v>PO1509170087</v>
      </c>
      <c r="E272" s="8" t="str">
        <f>"9787310042401"</f>
        <v>9787310042401</v>
      </c>
      <c r="F272" s="21" t="s">
        <v>316</v>
      </c>
      <c r="G272" s="8" t="s">
        <v>307</v>
      </c>
      <c r="H272" s="9" t="s">
        <v>273</v>
      </c>
      <c r="I272" s="8" t="s">
        <v>317</v>
      </c>
      <c r="J272" s="10">
        <v>39</v>
      </c>
      <c r="K272" s="11">
        <v>44</v>
      </c>
      <c r="L272" s="74">
        <f t="shared" si="23"/>
        <v>1716</v>
      </c>
      <c r="M272" s="74">
        <f t="shared" si="21"/>
        <v>1372.8000000000002</v>
      </c>
      <c r="N272" s="12">
        <v>80</v>
      </c>
    </row>
    <row r="273" spans="1:14">
      <c r="A273" s="25" t="s">
        <v>74</v>
      </c>
      <c r="B273" s="25" t="s">
        <v>353</v>
      </c>
      <c r="C273" s="2" t="s">
        <v>355</v>
      </c>
      <c r="D273" s="8" t="s">
        <v>375</v>
      </c>
      <c r="E273" s="8" t="s">
        <v>375</v>
      </c>
      <c r="F273" s="31" t="s">
        <v>383</v>
      </c>
      <c r="G273" s="8" t="s">
        <v>389</v>
      </c>
      <c r="H273" s="8" t="s">
        <v>376</v>
      </c>
      <c r="I273" s="8" t="s">
        <v>376</v>
      </c>
      <c r="J273" s="32">
        <v>16</v>
      </c>
      <c r="K273" s="11">
        <v>44</v>
      </c>
      <c r="L273" s="74">
        <f t="shared" si="23"/>
        <v>704</v>
      </c>
      <c r="M273" s="74">
        <f t="shared" ref="M273:M278" si="27">L273*1</f>
        <v>704</v>
      </c>
      <c r="N273" s="12">
        <v>100</v>
      </c>
    </row>
    <row r="274" spans="1:14">
      <c r="A274" s="25" t="s">
        <v>74</v>
      </c>
      <c r="B274" s="25" t="s">
        <v>341</v>
      </c>
      <c r="C274" s="2" t="s">
        <v>354</v>
      </c>
      <c r="D274" s="8" t="s">
        <v>375</v>
      </c>
      <c r="E274" s="8" t="s">
        <v>375</v>
      </c>
      <c r="F274" s="31" t="s">
        <v>384</v>
      </c>
      <c r="G274" s="8" t="s">
        <v>390</v>
      </c>
      <c r="H274" s="8" t="s">
        <v>376</v>
      </c>
      <c r="I274" s="8" t="s">
        <v>376</v>
      </c>
      <c r="J274" s="32">
        <v>18</v>
      </c>
      <c r="K274" s="11">
        <v>44</v>
      </c>
      <c r="L274" s="74">
        <f t="shared" si="23"/>
        <v>792</v>
      </c>
      <c r="M274" s="74">
        <f t="shared" si="27"/>
        <v>792</v>
      </c>
      <c r="N274" s="12">
        <v>100</v>
      </c>
    </row>
    <row r="275" spans="1:14">
      <c r="A275" s="25" t="s">
        <v>74</v>
      </c>
      <c r="B275" s="25" t="s">
        <v>340</v>
      </c>
      <c r="C275" s="2" t="s">
        <v>354</v>
      </c>
      <c r="D275" s="8" t="s">
        <v>375</v>
      </c>
      <c r="E275" s="8" t="s">
        <v>375</v>
      </c>
      <c r="F275" s="33" t="s">
        <v>385</v>
      </c>
      <c r="G275" s="8" t="s">
        <v>376</v>
      </c>
      <c r="H275" s="8" t="s">
        <v>376</v>
      </c>
      <c r="I275" s="8" t="s">
        <v>376</v>
      </c>
      <c r="J275" s="34">
        <v>14.6</v>
      </c>
      <c r="K275" s="11">
        <v>44</v>
      </c>
      <c r="L275" s="74">
        <f t="shared" si="23"/>
        <v>642.4</v>
      </c>
      <c r="M275" s="74">
        <f t="shared" si="27"/>
        <v>642.4</v>
      </c>
      <c r="N275" s="12">
        <v>100</v>
      </c>
    </row>
    <row r="276" spans="1:14">
      <c r="A276" s="25" t="s">
        <v>74</v>
      </c>
      <c r="B276" s="25" t="s">
        <v>340</v>
      </c>
      <c r="C276" s="2" t="s">
        <v>354</v>
      </c>
      <c r="D276" s="8" t="s">
        <v>375</v>
      </c>
      <c r="E276" s="8" t="s">
        <v>375</v>
      </c>
      <c r="F276" s="33" t="s">
        <v>386</v>
      </c>
      <c r="G276" s="8" t="s">
        <v>376</v>
      </c>
      <c r="H276" s="8" t="s">
        <v>376</v>
      </c>
      <c r="I276" s="8" t="s">
        <v>376</v>
      </c>
      <c r="J276" s="34">
        <v>5</v>
      </c>
      <c r="K276" s="11">
        <v>44</v>
      </c>
      <c r="L276" s="74">
        <f t="shared" si="23"/>
        <v>220</v>
      </c>
      <c r="M276" s="74">
        <f t="shared" si="27"/>
        <v>220</v>
      </c>
      <c r="N276" s="12">
        <v>100</v>
      </c>
    </row>
    <row r="277" spans="1:14">
      <c r="A277" s="25" t="s">
        <v>74</v>
      </c>
      <c r="B277" s="25" t="s">
        <v>341</v>
      </c>
      <c r="C277" s="2" t="s">
        <v>355</v>
      </c>
      <c r="D277" s="8" t="s">
        <v>375</v>
      </c>
      <c r="E277" s="8" t="s">
        <v>375</v>
      </c>
      <c r="F277" s="35" t="s">
        <v>387</v>
      </c>
      <c r="G277" s="8" t="s">
        <v>376</v>
      </c>
      <c r="H277" s="8" t="s">
        <v>376</v>
      </c>
      <c r="I277" s="8" t="s">
        <v>376</v>
      </c>
      <c r="J277" s="36">
        <v>6.5</v>
      </c>
      <c r="K277" s="11">
        <v>44</v>
      </c>
      <c r="L277" s="74">
        <f t="shared" si="23"/>
        <v>286</v>
      </c>
      <c r="M277" s="74">
        <f t="shared" si="27"/>
        <v>286</v>
      </c>
      <c r="N277" s="12">
        <v>100</v>
      </c>
    </row>
    <row r="278" spans="1:14">
      <c r="A278" s="25" t="s">
        <v>74</v>
      </c>
      <c r="B278" s="25" t="s">
        <v>340</v>
      </c>
      <c r="C278" s="2" t="s">
        <v>354</v>
      </c>
      <c r="D278" s="8" t="s">
        <v>375</v>
      </c>
      <c r="E278" s="8" t="s">
        <v>375</v>
      </c>
      <c r="F278" s="35" t="s">
        <v>388</v>
      </c>
      <c r="G278" s="8" t="s">
        <v>376</v>
      </c>
      <c r="H278" s="8" t="s">
        <v>376</v>
      </c>
      <c r="I278" s="8" t="s">
        <v>376</v>
      </c>
      <c r="J278" s="36">
        <v>2.2999999999999998</v>
      </c>
      <c r="K278" s="11">
        <v>44</v>
      </c>
      <c r="L278" s="74">
        <f t="shared" si="23"/>
        <v>101.19999999999999</v>
      </c>
      <c r="M278" s="74">
        <f t="shared" si="27"/>
        <v>101.19999999999999</v>
      </c>
      <c r="N278" s="12">
        <v>100</v>
      </c>
    </row>
    <row r="279" spans="1:14">
      <c r="A279" s="152" t="s">
        <v>442</v>
      </c>
      <c r="B279" s="153"/>
      <c r="C279" s="153"/>
      <c r="D279" s="153"/>
      <c r="E279" s="153"/>
      <c r="F279" s="153"/>
      <c r="G279" s="153"/>
      <c r="H279" s="153"/>
      <c r="I279" s="153"/>
      <c r="J279" s="154"/>
      <c r="K279" s="11">
        <f>SUM(K264:K278)</f>
        <v>660</v>
      </c>
      <c r="L279" s="74">
        <f t="shared" ref="L279:M279" si="28">SUM(L264:L278)</f>
        <v>15488.000000000002</v>
      </c>
      <c r="M279" s="74">
        <f t="shared" si="28"/>
        <v>12939.520000000002</v>
      </c>
      <c r="N279" s="12"/>
    </row>
    <row r="280" spans="1:14">
      <c r="A280" s="64"/>
      <c r="B280" s="64"/>
      <c r="C280" s="96"/>
      <c r="D280" s="67"/>
      <c r="E280" s="67"/>
      <c r="F280" s="121"/>
      <c r="G280" s="67"/>
      <c r="H280" s="67"/>
      <c r="I280" s="67"/>
      <c r="J280" s="122"/>
      <c r="K280" s="71"/>
      <c r="L280" s="75"/>
      <c r="M280" s="75"/>
      <c r="N280" s="72"/>
    </row>
    <row r="281" spans="1:14" ht="14.25">
      <c r="A281" s="88" t="s">
        <v>444</v>
      </c>
      <c r="B281" s="64"/>
      <c r="C281" s="96"/>
      <c r="D281" s="67"/>
      <c r="E281" s="67"/>
      <c r="F281" s="121"/>
      <c r="G281" s="67"/>
      <c r="H281" s="67"/>
      <c r="I281" s="67"/>
      <c r="J281" s="122"/>
      <c r="K281" s="71"/>
      <c r="L281" s="75"/>
      <c r="M281" s="75"/>
      <c r="N281" s="72"/>
    </row>
    <row r="282" spans="1:14" ht="14.25">
      <c r="A282" s="88" t="s">
        <v>443</v>
      </c>
      <c r="B282" s="64"/>
      <c r="C282" s="96"/>
      <c r="D282" s="67"/>
      <c r="E282" s="67"/>
      <c r="F282" s="121"/>
      <c r="G282" s="67"/>
      <c r="H282" s="67"/>
      <c r="I282" s="67"/>
      <c r="J282" s="122"/>
      <c r="K282" s="71"/>
      <c r="L282" s="75"/>
      <c r="M282" s="75"/>
      <c r="N282" s="72"/>
    </row>
    <row r="283" spans="1:14">
      <c r="A283" s="64"/>
      <c r="B283" s="64"/>
      <c r="C283" s="96"/>
      <c r="D283" s="67"/>
      <c r="E283" s="67"/>
      <c r="F283" s="121"/>
      <c r="G283" s="67"/>
      <c r="H283" s="67"/>
      <c r="I283" s="67"/>
      <c r="J283" s="122"/>
      <c r="K283" s="71"/>
      <c r="L283" s="75"/>
      <c r="M283" s="75"/>
      <c r="N283" s="72"/>
    </row>
    <row r="284" spans="1:14">
      <c r="A284" s="64"/>
      <c r="B284" s="64"/>
      <c r="C284" s="96"/>
      <c r="D284" s="67"/>
      <c r="E284" s="67"/>
      <c r="F284" s="121"/>
      <c r="G284" s="67"/>
      <c r="H284" s="67"/>
      <c r="I284" s="67"/>
      <c r="J284" s="122"/>
      <c r="K284" s="71"/>
      <c r="L284" s="75"/>
      <c r="M284" s="75"/>
      <c r="N284" s="72"/>
    </row>
    <row r="285" spans="1:14">
      <c r="A285" s="64"/>
      <c r="B285" s="64"/>
      <c r="C285" s="96"/>
      <c r="D285" s="67"/>
      <c r="E285" s="67"/>
      <c r="F285" s="121"/>
      <c r="G285" s="67"/>
      <c r="H285" s="67"/>
      <c r="I285" s="67"/>
      <c r="J285" s="122"/>
      <c r="K285" s="71"/>
      <c r="L285" s="75"/>
      <c r="M285" s="75"/>
      <c r="N285" s="72"/>
    </row>
    <row r="286" spans="1:14">
      <c r="A286" s="64"/>
      <c r="B286" s="64"/>
      <c r="C286" s="96"/>
      <c r="D286" s="67"/>
      <c r="E286" s="67"/>
      <c r="F286" s="121"/>
      <c r="G286" s="67"/>
      <c r="H286" s="67"/>
      <c r="I286" s="67"/>
      <c r="J286" s="122"/>
      <c r="K286" s="71"/>
      <c r="L286" s="75"/>
      <c r="M286" s="75"/>
      <c r="N286" s="72"/>
    </row>
    <row r="287" spans="1:14">
      <c r="A287" s="64"/>
      <c r="B287" s="64"/>
      <c r="C287" s="96"/>
      <c r="D287" s="67"/>
      <c r="E287" s="67"/>
      <c r="F287" s="121"/>
      <c r="G287" s="67"/>
      <c r="H287" s="67"/>
      <c r="I287" s="67"/>
      <c r="J287" s="122"/>
      <c r="K287" s="71"/>
      <c r="L287" s="75"/>
      <c r="M287" s="75"/>
      <c r="N287" s="72"/>
    </row>
    <row r="288" spans="1:14">
      <c r="A288" s="25" t="s">
        <v>76</v>
      </c>
      <c r="B288" s="7" t="s">
        <v>1</v>
      </c>
      <c r="C288" s="7" t="s">
        <v>284</v>
      </c>
      <c r="D288" s="27" t="s">
        <v>0</v>
      </c>
      <c r="E288" s="27" t="s">
        <v>3</v>
      </c>
      <c r="F288" s="27" t="s">
        <v>4</v>
      </c>
      <c r="G288" s="28" t="s">
        <v>5</v>
      </c>
      <c r="H288" s="27" t="s">
        <v>6</v>
      </c>
      <c r="I288" s="27" t="s">
        <v>7</v>
      </c>
      <c r="J288" s="27" t="s">
        <v>8</v>
      </c>
      <c r="K288" s="27" t="s">
        <v>393</v>
      </c>
      <c r="L288" s="73" t="s">
        <v>394</v>
      </c>
      <c r="M288" s="73" t="s">
        <v>395</v>
      </c>
      <c r="N288" s="29" t="s">
        <v>9</v>
      </c>
    </row>
    <row r="289" spans="1:14">
      <c r="A289" s="4" t="s">
        <v>288</v>
      </c>
      <c r="B289" s="20" t="s">
        <v>12</v>
      </c>
      <c r="C289" s="5" t="s">
        <v>55</v>
      </c>
      <c r="D289" s="22" t="str">
        <f>"PO1509090009"</f>
        <v>PO1509090009</v>
      </c>
      <c r="E289" s="22" t="str">
        <f>"9787561546611.001"</f>
        <v>9787561546611.001</v>
      </c>
      <c r="F289" s="23" t="s">
        <v>294</v>
      </c>
      <c r="G289" s="8" t="s">
        <v>164</v>
      </c>
      <c r="H289" s="9" t="s">
        <v>98</v>
      </c>
      <c r="I289" s="8" t="s">
        <v>295</v>
      </c>
      <c r="J289" s="10">
        <v>32</v>
      </c>
      <c r="K289" s="11">
        <v>49</v>
      </c>
      <c r="L289" s="74">
        <f t="shared" si="23"/>
        <v>1568</v>
      </c>
      <c r="M289" s="74">
        <f t="shared" si="21"/>
        <v>1254.4000000000001</v>
      </c>
      <c r="N289" s="12">
        <v>80</v>
      </c>
    </row>
    <row r="290" spans="1:14">
      <c r="A290" s="4" t="s">
        <v>74</v>
      </c>
      <c r="B290" s="20" t="s">
        <v>12</v>
      </c>
      <c r="C290" s="5" t="s">
        <v>55</v>
      </c>
      <c r="D290" s="8" t="str">
        <f t="shared" ref="D290:D297" si="29">"PO1509170088"</f>
        <v>PO1509170088</v>
      </c>
      <c r="E290" s="8" t="str">
        <f>"9787040332575"</f>
        <v>9787040332575</v>
      </c>
      <c r="F290" s="21" t="s">
        <v>300</v>
      </c>
      <c r="G290" s="8" t="s">
        <v>214</v>
      </c>
      <c r="H290" s="9" t="s">
        <v>145</v>
      </c>
      <c r="I290" s="8" t="s">
        <v>301</v>
      </c>
      <c r="J290" s="10">
        <v>26</v>
      </c>
      <c r="K290" s="11">
        <v>49</v>
      </c>
      <c r="L290" s="74">
        <f t="shared" si="23"/>
        <v>1274</v>
      </c>
      <c r="M290" s="74">
        <f t="shared" si="21"/>
        <v>1019.2</v>
      </c>
      <c r="N290" s="12">
        <v>80</v>
      </c>
    </row>
    <row r="291" spans="1:14">
      <c r="A291" s="4" t="s">
        <v>74</v>
      </c>
      <c r="B291" s="20" t="s">
        <v>12</v>
      </c>
      <c r="C291" s="5" t="s">
        <v>55</v>
      </c>
      <c r="D291" s="8" t="str">
        <f t="shared" si="29"/>
        <v>PO1509170088</v>
      </c>
      <c r="E291" s="8" t="str">
        <f>"9787506818933"</f>
        <v>9787506818933</v>
      </c>
      <c r="F291" s="21" t="s">
        <v>302</v>
      </c>
      <c r="G291" s="8" t="s">
        <v>303</v>
      </c>
      <c r="H291" s="9" t="s">
        <v>304</v>
      </c>
      <c r="I291" s="8" t="s">
        <v>305</v>
      </c>
      <c r="J291" s="10">
        <v>26.8</v>
      </c>
      <c r="K291" s="11">
        <v>49</v>
      </c>
      <c r="L291" s="74">
        <f t="shared" si="23"/>
        <v>1313.2</v>
      </c>
      <c r="M291" s="74">
        <f t="shared" si="21"/>
        <v>1050.5600000000002</v>
      </c>
      <c r="N291" s="12">
        <v>80</v>
      </c>
    </row>
    <row r="292" spans="1:14">
      <c r="A292" s="4" t="s">
        <v>74</v>
      </c>
      <c r="B292" s="20" t="s">
        <v>12</v>
      </c>
      <c r="C292" s="5" t="s">
        <v>55</v>
      </c>
      <c r="D292" s="8" t="str">
        <f t="shared" si="29"/>
        <v>PO1509170088</v>
      </c>
      <c r="E292" s="8" t="str">
        <f>"9787310042838"</f>
        <v>9787310042838</v>
      </c>
      <c r="F292" s="21" t="s">
        <v>306</v>
      </c>
      <c r="G292" s="8" t="s">
        <v>307</v>
      </c>
      <c r="H292" s="9" t="s">
        <v>308</v>
      </c>
      <c r="I292" s="8" t="s">
        <v>309</v>
      </c>
      <c r="J292" s="10">
        <v>28</v>
      </c>
      <c r="K292" s="11">
        <v>49</v>
      </c>
      <c r="L292" s="74">
        <f t="shared" si="23"/>
        <v>1372</v>
      </c>
      <c r="M292" s="74">
        <f t="shared" si="21"/>
        <v>1097.6000000000001</v>
      </c>
      <c r="N292" s="12">
        <v>80</v>
      </c>
    </row>
    <row r="293" spans="1:14">
      <c r="A293" s="4" t="s">
        <v>74</v>
      </c>
      <c r="B293" s="20" t="s">
        <v>12</v>
      </c>
      <c r="C293" s="5" t="s">
        <v>55</v>
      </c>
      <c r="D293" s="8" t="str">
        <f t="shared" si="29"/>
        <v>PO1509170088</v>
      </c>
      <c r="E293" s="8" t="str">
        <f>"9787564804596"</f>
        <v>9787564804596</v>
      </c>
      <c r="F293" s="21" t="s">
        <v>283</v>
      </c>
      <c r="G293" s="8" t="s">
        <v>87</v>
      </c>
      <c r="H293" s="9" t="s">
        <v>142</v>
      </c>
      <c r="I293" s="8" t="s">
        <v>282</v>
      </c>
      <c r="J293" s="10">
        <v>32</v>
      </c>
      <c r="K293" s="11">
        <v>49</v>
      </c>
      <c r="L293" s="74">
        <f t="shared" si="23"/>
        <v>1568</v>
      </c>
      <c r="M293" s="74">
        <f t="shared" si="21"/>
        <v>1254.4000000000001</v>
      </c>
      <c r="N293" s="12">
        <v>80</v>
      </c>
    </row>
    <row r="294" spans="1:14">
      <c r="A294" s="4" t="s">
        <v>74</v>
      </c>
      <c r="B294" s="20" t="s">
        <v>12</v>
      </c>
      <c r="C294" s="5" t="s">
        <v>55</v>
      </c>
      <c r="D294" s="8" t="str">
        <f t="shared" si="29"/>
        <v>PO1509170088</v>
      </c>
      <c r="E294" s="8" t="str">
        <f>"9787313080844"</f>
        <v>9787313080844</v>
      </c>
      <c r="F294" s="21" t="s">
        <v>310</v>
      </c>
      <c r="G294" s="8" t="s">
        <v>311</v>
      </c>
      <c r="H294" s="9" t="s">
        <v>241</v>
      </c>
      <c r="I294" s="8" t="s">
        <v>312</v>
      </c>
      <c r="J294" s="10">
        <v>32</v>
      </c>
      <c r="K294" s="11">
        <v>49</v>
      </c>
      <c r="L294" s="74">
        <f t="shared" si="23"/>
        <v>1568</v>
      </c>
      <c r="M294" s="74">
        <f t="shared" si="21"/>
        <v>1254.4000000000001</v>
      </c>
      <c r="N294" s="12">
        <v>80</v>
      </c>
    </row>
    <row r="295" spans="1:14">
      <c r="A295" s="4" t="s">
        <v>74</v>
      </c>
      <c r="B295" s="20" t="s">
        <v>12</v>
      </c>
      <c r="C295" s="5" t="s">
        <v>55</v>
      </c>
      <c r="D295" s="8" t="str">
        <f t="shared" si="29"/>
        <v>PO1509170088</v>
      </c>
      <c r="E295" s="8" t="str">
        <f>"9787040406801"</f>
        <v>9787040406801</v>
      </c>
      <c r="F295" s="21" t="s">
        <v>313</v>
      </c>
      <c r="G295" s="8" t="s">
        <v>214</v>
      </c>
      <c r="H295" s="9" t="s">
        <v>136</v>
      </c>
      <c r="I295" s="8" t="s">
        <v>314</v>
      </c>
      <c r="J295" s="10">
        <v>35</v>
      </c>
      <c r="K295" s="11">
        <v>49</v>
      </c>
      <c r="L295" s="74">
        <f t="shared" si="23"/>
        <v>1715</v>
      </c>
      <c r="M295" s="74">
        <f t="shared" si="21"/>
        <v>1372</v>
      </c>
      <c r="N295" s="12">
        <v>80</v>
      </c>
    </row>
    <row r="296" spans="1:14">
      <c r="A296" s="4" t="s">
        <v>74</v>
      </c>
      <c r="B296" s="20" t="s">
        <v>12</v>
      </c>
      <c r="C296" s="5" t="s">
        <v>55</v>
      </c>
      <c r="D296" s="8" t="str">
        <f t="shared" si="29"/>
        <v>PO1509170088</v>
      </c>
      <c r="E296" s="8" t="str">
        <f>"9787504179296"</f>
        <v>9787504179296</v>
      </c>
      <c r="F296" s="21" t="s">
        <v>279</v>
      </c>
      <c r="G296" s="8" t="s">
        <v>278</v>
      </c>
      <c r="H296" s="9" t="s">
        <v>273</v>
      </c>
      <c r="I296" s="8" t="s">
        <v>277</v>
      </c>
      <c r="J296" s="10">
        <v>38.799999999999997</v>
      </c>
      <c r="K296" s="11">
        <v>49</v>
      </c>
      <c r="L296" s="74">
        <f t="shared" si="23"/>
        <v>1901.1999999999998</v>
      </c>
      <c r="M296" s="74">
        <f t="shared" si="21"/>
        <v>1520.96</v>
      </c>
      <c r="N296" s="12">
        <v>80</v>
      </c>
    </row>
    <row r="297" spans="1:14">
      <c r="A297" s="4" t="s">
        <v>74</v>
      </c>
      <c r="B297" s="20" t="s">
        <v>12</v>
      </c>
      <c r="C297" s="5" t="s">
        <v>55</v>
      </c>
      <c r="D297" s="8" t="str">
        <f t="shared" si="29"/>
        <v>PO1509170088</v>
      </c>
      <c r="E297" s="8" t="str">
        <f>"9787310042401"</f>
        <v>9787310042401</v>
      </c>
      <c r="F297" s="21" t="s">
        <v>316</v>
      </c>
      <c r="G297" s="8" t="s">
        <v>307</v>
      </c>
      <c r="H297" s="9" t="s">
        <v>273</v>
      </c>
      <c r="I297" s="8" t="s">
        <v>317</v>
      </c>
      <c r="J297" s="10">
        <v>39</v>
      </c>
      <c r="K297" s="11">
        <v>49</v>
      </c>
      <c r="L297" s="74">
        <f t="shared" si="23"/>
        <v>1911</v>
      </c>
      <c r="M297" s="74">
        <f t="shared" si="21"/>
        <v>1528.8000000000002</v>
      </c>
      <c r="N297" s="12">
        <v>80</v>
      </c>
    </row>
    <row r="298" spans="1:14">
      <c r="A298" s="4" t="s">
        <v>74</v>
      </c>
      <c r="B298" s="20" t="s">
        <v>12</v>
      </c>
      <c r="C298" s="5" t="s">
        <v>55</v>
      </c>
      <c r="D298" s="8" t="s">
        <v>375</v>
      </c>
      <c r="E298" s="8" t="s">
        <v>375</v>
      </c>
      <c r="F298" s="31" t="s">
        <v>383</v>
      </c>
      <c r="G298" s="8" t="s">
        <v>389</v>
      </c>
      <c r="H298" s="8" t="s">
        <v>376</v>
      </c>
      <c r="I298" s="8" t="s">
        <v>376</v>
      </c>
      <c r="J298" s="32">
        <v>16</v>
      </c>
      <c r="K298" s="11">
        <v>49</v>
      </c>
      <c r="L298" s="74">
        <f t="shared" si="23"/>
        <v>784</v>
      </c>
      <c r="M298" s="74">
        <f t="shared" ref="M298:M303" si="30">L298*1</f>
        <v>784</v>
      </c>
      <c r="N298" s="12">
        <v>100</v>
      </c>
    </row>
    <row r="299" spans="1:14">
      <c r="A299" s="4" t="s">
        <v>74</v>
      </c>
      <c r="B299" s="20" t="s">
        <v>12</v>
      </c>
      <c r="C299" s="5" t="s">
        <v>55</v>
      </c>
      <c r="D299" s="8" t="s">
        <v>375</v>
      </c>
      <c r="E299" s="8" t="s">
        <v>375</v>
      </c>
      <c r="F299" s="31" t="s">
        <v>384</v>
      </c>
      <c r="G299" s="8" t="s">
        <v>390</v>
      </c>
      <c r="H299" s="8" t="s">
        <v>376</v>
      </c>
      <c r="I299" s="8" t="s">
        <v>376</v>
      </c>
      <c r="J299" s="32">
        <v>18</v>
      </c>
      <c r="K299" s="11">
        <v>49</v>
      </c>
      <c r="L299" s="74">
        <f t="shared" si="23"/>
        <v>882</v>
      </c>
      <c r="M299" s="74">
        <f t="shared" si="30"/>
        <v>882</v>
      </c>
      <c r="N299" s="12">
        <v>100</v>
      </c>
    </row>
    <row r="300" spans="1:14">
      <c r="A300" s="4" t="s">
        <v>74</v>
      </c>
      <c r="B300" s="20" t="s">
        <v>12</v>
      </c>
      <c r="C300" s="5" t="s">
        <v>55</v>
      </c>
      <c r="D300" s="8" t="s">
        <v>375</v>
      </c>
      <c r="E300" s="8" t="s">
        <v>375</v>
      </c>
      <c r="F300" s="33" t="s">
        <v>385</v>
      </c>
      <c r="G300" s="8" t="s">
        <v>376</v>
      </c>
      <c r="H300" s="8" t="s">
        <v>376</v>
      </c>
      <c r="I300" s="8" t="s">
        <v>376</v>
      </c>
      <c r="J300" s="34">
        <v>14.6</v>
      </c>
      <c r="K300" s="11">
        <v>49</v>
      </c>
      <c r="L300" s="74">
        <f t="shared" si="23"/>
        <v>715.4</v>
      </c>
      <c r="M300" s="74">
        <f t="shared" si="30"/>
        <v>715.4</v>
      </c>
      <c r="N300" s="12">
        <v>100</v>
      </c>
    </row>
    <row r="301" spans="1:14">
      <c r="A301" s="4" t="s">
        <v>74</v>
      </c>
      <c r="B301" s="20" t="s">
        <v>12</v>
      </c>
      <c r="C301" s="5" t="s">
        <v>55</v>
      </c>
      <c r="D301" s="8" t="s">
        <v>375</v>
      </c>
      <c r="E301" s="8" t="s">
        <v>375</v>
      </c>
      <c r="F301" s="33" t="s">
        <v>386</v>
      </c>
      <c r="G301" s="8" t="s">
        <v>376</v>
      </c>
      <c r="H301" s="8" t="s">
        <v>376</v>
      </c>
      <c r="I301" s="8" t="s">
        <v>376</v>
      </c>
      <c r="J301" s="34">
        <v>5</v>
      </c>
      <c r="K301" s="11">
        <v>49</v>
      </c>
      <c r="L301" s="74">
        <f t="shared" si="23"/>
        <v>245</v>
      </c>
      <c r="M301" s="74">
        <f t="shared" si="30"/>
        <v>245</v>
      </c>
      <c r="N301" s="12">
        <v>100</v>
      </c>
    </row>
    <row r="302" spans="1:14">
      <c r="A302" s="4" t="s">
        <v>74</v>
      </c>
      <c r="B302" s="20" t="s">
        <v>12</v>
      </c>
      <c r="C302" s="5" t="s">
        <v>55</v>
      </c>
      <c r="D302" s="8" t="s">
        <v>375</v>
      </c>
      <c r="E302" s="8" t="s">
        <v>375</v>
      </c>
      <c r="F302" s="35" t="s">
        <v>387</v>
      </c>
      <c r="G302" s="8" t="s">
        <v>376</v>
      </c>
      <c r="H302" s="8" t="s">
        <v>376</v>
      </c>
      <c r="I302" s="8" t="s">
        <v>376</v>
      </c>
      <c r="J302" s="36">
        <v>6.5</v>
      </c>
      <c r="K302" s="11">
        <v>49</v>
      </c>
      <c r="L302" s="74">
        <f t="shared" si="23"/>
        <v>318.5</v>
      </c>
      <c r="M302" s="74">
        <f t="shared" si="30"/>
        <v>318.5</v>
      </c>
      <c r="N302" s="12">
        <v>100</v>
      </c>
    </row>
    <row r="303" spans="1:14">
      <c r="A303" s="4" t="s">
        <v>74</v>
      </c>
      <c r="B303" s="20" t="s">
        <v>12</v>
      </c>
      <c r="C303" s="5" t="s">
        <v>55</v>
      </c>
      <c r="D303" s="8" t="s">
        <v>375</v>
      </c>
      <c r="E303" s="8" t="s">
        <v>375</v>
      </c>
      <c r="F303" s="35" t="s">
        <v>388</v>
      </c>
      <c r="G303" s="8" t="s">
        <v>376</v>
      </c>
      <c r="H303" s="8" t="s">
        <v>376</v>
      </c>
      <c r="I303" s="8" t="s">
        <v>376</v>
      </c>
      <c r="J303" s="36">
        <v>2.2999999999999998</v>
      </c>
      <c r="K303" s="11">
        <v>49</v>
      </c>
      <c r="L303" s="74">
        <f t="shared" si="23"/>
        <v>112.69999999999999</v>
      </c>
      <c r="M303" s="74">
        <f t="shared" si="30"/>
        <v>112.69999999999999</v>
      </c>
      <c r="N303" s="12">
        <v>100</v>
      </c>
    </row>
    <row r="304" spans="1:14">
      <c r="A304" s="152" t="s">
        <v>442</v>
      </c>
      <c r="B304" s="153"/>
      <c r="C304" s="153"/>
      <c r="D304" s="153"/>
      <c r="E304" s="153"/>
      <c r="F304" s="153"/>
      <c r="G304" s="153"/>
      <c r="H304" s="153"/>
      <c r="I304" s="153"/>
      <c r="J304" s="154"/>
      <c r="K304" s="11">
        <f>SUM(K289:K303)</f>
        <v>735</v>
      </c>
      <c r="L304" s="74">
        <f t="shared" ref="L304:M304" si="31">SUM(L289:L303)</f>
        <v>17248.000000000004</v>
      </c>
      <c r="M304" s="74">
        <f t="shared" si="31"/>
        <v>14409.92</v>
      </c>
      <c r="N304" s="12"/>
    </row>
    <row r="305" spans="1:14">
      <c r="A305" s="109"/>
      <c r="B305" s="127"/>
      <c r="C305" s="66"/>
      <c r="D305" s="67"/>
      <c r="E305" s="67"/>
      <c r="F305" s="121"/>
      <c r="G305" s="67"/>
      <c r="H305" s="67"/>
      <c r="I305" s="67"/>
      <c r="J305" s="122"/>
      <c r="K305" s="71"/>
      <c r="L305" s="75"/>
      <c r="M305" s="75"/>
      <c r="N305" s="72"/>
    </row>
    <row r="306" spans="1:14" ht="14.25">
      <c r="A306" s="88" t="s">
        <v>444</v>
      </c>
      <c r="B306" s="127"/>
      <c r="C306" s="66"/>
      <c r="D306" s="67"/>
      <c r="E306" s="67"/>
      <c r="F306" s="121"/>
      <c r="G306" s="67"/>
      <c r="H306" s="67"/>
      <c r="I306" s="67"/>
      <c r="J306" s="122"/>
      <c r="K306" s="71"/>
      <c r="L306" s="75"/>
      <c r="M306" s="75"/>
      <c r="N306" s="72"/>
    </row>
    <row r="307" spans="1:14" ht="14.25">
      <c r="A307" s="88" t="s">
        <v>443</v>
      </c>
      <c r="B307" s="127"/>
      <c r="C307" s="66"/>
      <c r="D307" s="67"/>
      <c r="E307" s="67"/>
      <c r="F307" s="121"/>
      <c r="G307" s="67"/>
      <c r="H307" s="67"/>
      <c r="I307" s="67"/>
      <c r="J307" s="122"/>
      <c r="K307" s="71"/>
      <c r="L307" s="75"/>
      <c r="M307" s="75"/>
      <c r="N307" s="72"/>
    </row>
    <row r="308" spans="1:14">
      <c r="A308" s="109"/>
      <c r="B308" s="127"/>
      <c r="C308" s="66"/>
      <c r="D308" s="67"/>
      <c r="E308" s="67"/>
      <c r="F308" s="121"/>
      <c r="G308" s="67"/>
      <c r="H308" s="67"/>
      <c r="I308" s="67"/>
      <c r="J308" s="122"/>
      <c r="K308" s="71"/>
      <c r="L308" s="75"/>
      <c r="M308" s="75"/>
      <c r="N308" s="72"/>
    </row>
    <row r="309" spans="1:14">
      <c r="A309" s="109"/>
      <c r="B309" s="127"/>
      <c r="C309" s="66"/>
      <c r="D309" s="67"/>
      <c r="E309" s="67"/>
      <c r="F309" s="121"/>
      <c r="G309" s="67"/>
      <c r="H309" s="67"/>
      <c r="I309" s="67"/>
      <c r="J309" s="122"/>
      <c r="K309" s="71"/>
      <c r="L309" s="75"/>
      <c r="M309" s="75"/>
      <c r="N309" s="72"/>
    </row>
    <row r="310" spans="1:14">
      <c r="A310" s="109"/>
      <c r="B310" s="127"/>
      <c r="C310" s="66"/>
      <c r="D310" s="67"/>
      <c r="E310" s="67"/>
      <c r="F310" s="121"/>
      <c r="G310" s="67"/>
      <c r="H310" s="67"/>
      <c r="I310" s="67"/>
      <c r="J310" s="122"/>
      <c r="K310" s="71"/>
      <c r="L310" s="75"/>
      <c r="M310" s="75"/>
      <c r="N310" s="72"/>
    </row>
    <row r="311" spans="1:14">
      <c r="A311" s="109"/>
      <c r="B311" s="127"/>
      <c r="C311" s="66"/>
      <c r="D311" s="67"/>
      <c r="E311" s="67"/>
      <c r="F311" s="121"/>
      <c r="G311" s="67"/>
      <c r="H311" s="67"/>
      <c r="I311" s="67"/>
      <c r="J311" s="122"/>
      <c r="K311" s="71"/>
      <c r="L311" s="75"/>
      <c r="M311" s="75"/>
      <c r="N311" s="72"/>
    </row>
    <row r="312" spans="1:14">
      <c r="A312" s="109"/>
      <c r="B312" s="127"/>
      <c r="C312" s="66"/>
      <c r="D312" s="67"/>
      <c r="E312" s="67"/>
      <c r="F312" s="121"/>
      <c r="G312" s="67"/>
      <c r="H312" s="67"/>
      <c r="I312" s="67"/>
      <c r="J312" s="122"/>
      <c r="K312" s="71"/>
      <c r="L312" s="75"/>
      <c r="M312" s="75"/>
      <c r="N312" s="72"/>
    </row>
    <row r="313" spans="1:14">
      <c r="A313" s="25" t="s">
        <v>76</v>
      </c>
      <c r="B313" s="7" t="s">
        <v>1</v>
      </c>
      <c r="C313" s="7" t="s">
        <v>284</v>
      </c>
      <c r="D313" s="27" t="s">
        <v>0</v>
      </c>
      <c r="E313" s="27" t="s">
        <v>3</v>
      </c>
      <c r="F313" s="27" t="s">
        <v>4</v>
      </c>
      <c r="G313" s="28" t="s">
        <v>5</v>
      </c>
      <c r="H313" s="27" t="s">
        <v>6</v>
      </c>
      <c r="I313" s="27" t="s">
        <v>7</v>
      </c>
      <c r="J313" s="27" t="s">
        <v>8</v>
      </c>
      <c r="K313" s="27" t="s">
        <v>393</v>
      </c>
      <c r="L313" s="73" t="s">
        <v>394</v>
      </c>
      <c r="M313" s="73" t="s">
        <v>395</v>
      </c>
      <c r="N313" s="29" t="s">
        <v>9</v>
      </c>
    </row>
    <row r="314" spans="1:14">
      <c r="A314" s="4" t="s">
        <v>288</v>
      </c>
      <c r="B314" s="20" t="s">
        <v>13</v>
      </c>
      <c r="C314" s="5" t="s">
        <v>56</v>
      </c>
      <c r="D314" s="22" t="str">
        <f>"PO1509090009"</f>
        <v>PO1509090009</v>
      </c>
      <c r="E314" s="22" t="str">
        <f>"9787561546611.001"</f>
        <v>9787561546611.001</v>
      </c>
      <c r="F314" s="23" t="s">
        <v>294</v>
      </c>
      <c r="G314" s="8" t="s">
        <v>164</v>
      </c>
      <c r="H314" s="9" t="s">
        <v>98</v>
      </c>
      <c r="I314" s="8" t="s">
        <v>295</v>
      </c>
      <c r="J314" s="10">
        <v>32</v>
      </c>
      <c r="K314" s="11">
        <v>51</v>
      </c>
      <c r="L314" s="74">
        <f t="shared" si="23"/>
        <v>1632</v>
      </c>
      <c r="M314" s="74">
        <f t="shared" si="21"/>
        <v>1305.6000000000001</v>
      </c>
      <c r="N314" s="12">
        <v>80</v>
      </c>
    </row>
    <row r="315" spans="1:14">
      <c r="A315" s="25" t="s">
        <v>74</v>
      </c>
      <c r="B315" s="25" t="s">
        <v>13</v>
      </c>
      <c r="C315" s="2" t="s">
        <v>325</v>
      </c>
      <c r="D315" s="8" t="str">
        <f t="shared" ref="D315:D322" si="32">"PO1509170089"</f>
        <v>PO1509170089</v>
      </c>
      <c r="E315" s="8" t="str">
        <f>"9787506818933"</f>
        <v>9787506818933</v>
      </c>
      <c r="F315" s="21" t="s">
        <v>302</v>
      </c>
      <c r="G315" s="8" t="s">
        <v>303</v>
      </c>
      <c r="H315" s="9" t="s">
        <v>304</v>
      </c>
      <c r="I315" s="8" t="s">
        <v>305</v>
      </c>
      <c r="J315" s="10">
        <v>26.8</v>
      </c>
      <c r="K315" s="11">
        <v>51</v>
      </c>
      <c r="L315" s="74">
        <f t="shared" si="23"/>
        <v>1366.8</v>
      </c>
      <c r="M315" s="74">
        <f t="shared" si="21"/>
        <v>1093.44</v>
      </c>
      <c r="N315" s="12">
        <v>80</v>
      </c>
    </row>
    <row r="316" spans="1:14">
      <c r="A316" s="25" t="s">
        <v>320</v>
      </c>
      <c r="B316" s="25" t="s">
        <v>13</v>
      </c>
      <c r="C316" s="2" t="s">
        <v>325</v>
      </c>
      <c r="D316" s="8" t="str">
        <f t="shared" si="32"/>
        <v>PO1509170089</v>
      </c>
      <c r="E316" s="8" t="str">
        <f>"9787310042838"</f>
        <v>9787310042838</v>
      </c>
      <c r="F316" s="21" t="s">
        <v>306</v>
      </c>
      <c r="G316" s="8" t="s">
        <v>307</v>
      </c>
      <c r="H316" s="9" t="s">
        <v>308</v>
      </c>
      <c r="I316" s="8" t="s">
        <v>309</v>
      </c>
      <c r="J316" s="10">
        <v>28</v>
      </c>
      <c r="K316" s="11">
        <v>51</v>
      </c>
      <c r="L316" s="74">
        <f t="shared" si="23"/>
        <v>1428</v>
      </c>
      <c r="M316" s="74">
        <f t="shared" si="21"/>
        <v>1142.4000000000001</v>
      </c>
      <c r="N316" s="12">
        <v>80</v>
      </c>
    </row>
    <row r="317" spans="1:14">
      <c r="A317" s="25" t="s">
        <v>74</v>
      </c>
      <c r="B317" s="25" t="s">
        <v>13</v>
      </c>
      <c r="C317" s="2" t="s">
        <v>326</v>
      </c>
      <c r="D317" s="8" t="str">
        <f t="shared" si="32"/>
        <v>PO1509170089</v>
      </c>
      <c r="E317" s="8" t="str">
        <f>"9787040284478.001"</f>
        <v>9787040284478.001</v>
      </c>
      <c r="F317" s="21" t="s">
        <v>281</v>
      </c>
      <c r="G317" s="8" t="s">
        <v>214</v>
      </c>
      <c r="H317" s="9" t="s">
        <v>234</v>
      </c>
      <c r="I317" s="8" t="s">
        <v>280</v>
      </c>
      <c r="J317" s="10">
        <v>31.9</v>
      </c>
      <c r="K317" s="11">
        <v>51</v>
      </c>
      <c r="L317" s="74">
        <f t="shared" si="23"/>
        <v>1626.8999999999999</v>
      </c>
      <c r="M317" s="74">
        <f t="shared" si="21"/>
        <v>1301.52</v>
      </c>
      <c r="N317" s="12">
        <v>80</v>
      </c>
    </row>
    <row r="318" spans="1:14">
      <c r="A318" s="25" t="s">
        <v>320</v>
      </c>
      <c r="B318" s="25" t="s">
        <v>13</v>
      </c>
      <c r="C318" s="2" t="s">
        <v>326</v>
      </c>
      <c r="D318" s="8" t="str">
        <f t="shared" si="32"/>
        <v>PO1509170089</v>
      </c>
      <c r="E318" s="8" t="str">
        <f>"9787313080844"</f>
        <v>9787313080844</v>
      </c>
      <c r="F318" s="21" t="s">
        <v>310</v>
      </c>
      <c r="G318" s="8" t="s">
        <v>311</v>
      </c>
      <c r="H318" s="9" t="s">
        <v>241</v>
      </c>
      <c r="I318" s="8" t="s">
        <v>312</v>
      </c>
      <c r="J318" s="10">
        <v>32</v>
      </c>
      <c r="K318" s="11">
        <v>51</v>
      </c>
      <c r="L318" s="74">
        <f t="shared" si="23"/>
        <v>1632</v>
      </c>
      <c r="M318" s="74">
        <f t="shared" si="21"/>
        <v>1305.6000000000001</v>
      </c>
      <c r="N318" s="12">
        <v>80</v>
      </c>
    </row>
    <row r="319" spans="1:14">
      <c r="A319" s="25" t="s">
        <v>74</v>
      </c>
      <c r="B319" s="25" t="s">
        <v>13</v>
      </c>
      <c r="C319" s="2" t="s">
        <v>324</v>
      </c>
      <c r="D319" s="8" t="str">
        <f t="shared" si="32"/>
        <v>PO1509170089</v>
      </c>
      <c r="E319" s="8" t="str">
        <f>"9787302328605"</f>
        <v>9787302328605</v>
      </c>
      <c r="F319" s="21" t="s">
        <v>274</v>
      </c>
      <c r="G319" s="8" t="s">
        <v>198</v>
      </c>
      <c r="H319" s="9" t="s">
        <v>273</v>
      </c>
      <c r="I319" s="8" t="s">
        <v>272</v>
      </c>
      <c r="J319" s="10">
        <v>33</v>
      </c>
      <c r="K319" s="11">
        <v>51</v>
      </c>
      <c r="L319" s="74">
        <f t="shared" si="23"/>
        <v>1683</v>
      </c>
      <c r="M319" s="74">
        <f t="shared" si="21"/>
        <v>1346.4</v>
      </c>
      <c r="N319" s="12">
        <v>80</v>
      </c>
    </row>
    <row r="320" spans="1:14">
      <c r="A320" s="25" t="s">
        <v>319</v>
      </c>
      <c r="B320" s="25" t="s">
        <v>13</v>
      </c>
      <c r="C320" s="2" t="s">
        <v>324</v>
      </c>
      <c r="D320" s="8" t="str">
        <f t="shared" si="32"/>
        <v>PO1509170089</v>
      </c>
      <c r="E320" s="8" t="str">
        <f>"9787040406801"</f>
        <v>9787040406801</v>
      </c>
      <c r="F320" s="21" t="s">
        <v>313</v>
      </c>
      <c r="G320" s="8" t="s">
        <v>214</v>
      </c>
      <c r="H320" s="9" t="s">
        <v>136</v>
      </c>
      <c r="I320" s="8" t="s">
        <v>314</v>
      </c>
      <c r="J320" s="10">
        <v>35</v>
      </c>
      <c r="K320" s="11">
        <v>51</v>
      </c>
      <c r="L320" s="74">
        <f t="shared" si="23"/>
        <v>1785</v>
      </c>
      <c r="M320" s="74">
        <f t="shared" si="21"/>
        <v>1428</v>
      </c>
      <c r="N320" s="12">
        <v>80</v>
      </c>
    </row>
    <row r="321" spans="1:14">
      <c r="A321" s="25" t="s">
        <v>320</v>
      </c>
      <c r="B321" s="25" t="s">
        <v>13</v>
      </c>
      <c r="C321" s="2" t="s">
        <v>324</v>
      </c>
      <c r="D321" s="8" t="str">
        <f t="shared" si="32"/>
        <v>PO1509170089</v>
      </c>
      <c r="E321" s="8" t="str">
        <f>"9787504179296"</f>
        <v>9787504179296</v>
      </c>
      <c r="F321" s="21" t="s">
        <v>279</v>
      </c>
      <c r="G321" s="8" t="s">
        <v>278</v>
      </c>
      <c r="H321" s="9" t="s">
        <v>273</v>
      </c>
      <c r="I321" s="8" t="s">
        <v>277</v>
      </c>
      <c r="J321" s="10">
        <v>38.799999999999997</v>
      </c>
      <c r="K321" s="11">
        <v>51</v>
      </c>
      <c r="L321" s="74">
        <f t="shared" si="23"/>
        <v>1978.8</v>
      </c>
      <c r="M321" s="74">
        <f t="shared" si="21"/>
        <v>1583.04</v>
      </c>
      <c r="N321" s="12">
        <v>80</v>
      </c>
    </row>
    <row r="322" spans="1:14">
      <c r="A322" s="25" t="s">
        <v>315</v>
      </c>
      <c r="B322" s="25" t="s">
        <v>13</v>
      </c>
      <c r="C322" s="2" t="s">
        <v>324</v>
      </c>
      <c r="D322" s="8" t="str">
        <f t="shared" si="32"/>
        <v>PO1509170089</v>
      </c>
      <c r="E322" s="8" t="str">
        <f>"9787310042401"</f>
        <v>9787310042401</v>
      </c>
      <c r="F322" s="21" t="s">
        <v>316</v>
      </c>
      <c r="G322" s="8" t="s">
        <v>307</v>
      </c>
      <c r="H322" s="9" t="s">
        <v>273</v>
      </c>
      <c r="I322" s="8" t="s">
        <v>317</v>
      </c>
      <c r="J322" s="10">
        <v>39</v>
      </c>
      <c r="K322" s="11">
        <v>51</v>
      </c>
      <c r="L322" s="74">
        <f t="shared" si="23"/>
        <v>1989</v>
      </c>
      <c r="M322" s="74">
        <f t="shared" si="21"/>
        <v>1591.2</v>
      </c>
      <c r="N322" s="12">
        <v>80</v>
      </c>
    </row>
    <row r="323" spans="1:14">
      <c r="A323" s="25" t="s">
        <v>74</v>
      </c>
      <c r="B323" s="25" t="s">
        <v>342</v>
      </c>
      <c r="C323" s="2" t="s">
        <v>366</v>
      </c>
      <c r="D323" s="8" t="s">
        <v>375</v>
      </c>
      <c r="E323" s="8" t="s">
        <v>375</v>
      </c>
      <c r="F323" s="31" t="s">
        <v>383</v>
      </c>
      <c r="G323" s="8" t="s">
        <v>389</v>
      </c>
      <c r="H323" s="8" t="s">
        <v>376</v>
      </c>
      <c r="I323" s="8" t="s">
        <v>376</v>
      </c>
      <c r="J323" s="32">
        <v>16</v>
      </c>
      <c r="K323" s="11">
        <v>51</v>
      </c>
      <c r="L323" s="74">
        <f t="shared" si="23"/>
        <v>816</v>
      </c>
      <c r="M323" s="74">
        <f t="shared" ref="M323:M329" si="33">L323*1</f>
        <v>816</v>
      </c>
      <c r="N323" s="12">
        <v>100</v>
      </c>
    </row>
    <row r="324" spans="1:14">
      <c r="A324" s="25" t="s">
        <v>74</v>
      </c>
      <c r="B324" s="25" t="s">
        <v>342</v>
      </c>
      <c r="C324" s="2" t="s">
        <v>365</v>
      </c>
      <c r="D324" s="8" t="s">
        <v>375</v>
      </c>
      <c r="E324" s="8" t="s">
        <v>375</v>
      </c>
      <c r="F324" s="31" t="s">
        <v>384</v>
      </c>
      <c r="G324" s="8" t="s">
        <v>390</v>
      </c>
      <c r="H324" s="8" t="s">
        <v>376</v>
      </c>
      <c r="I324" s="8" t="s">
        <v>376</v>
      </c>
      <c r="J324" s="32">
        <v>18</v>
      </c>
      <c r="K324" s="11">
        <v>51</v>
      </c>
      <c r="L324" s="74">
        <f t="shared" si="23"/>
        <v>918</v>
      </c>
      <c r="M324" s="74">
        <f t="shared" si="33"/>
        <v>918</v>
      </c>
      <c r="N324" s="12">
        <v>100</v>
      </c>
    </row>
    <row r="325" spans="1:14">
      <c r="A325" s="25" t="s">
        <v>74</v>
      </c>
      <c r="B325" s="25" t="s">
        <v>342</v>
      </c>
      <c r="C325" s="2" t="s">
        <v>366</v>
      </c>
      <c r="D325" s="8" t="s">
        <v>375</v>
      </c>
      <c r="E325" s="8" t="s">
        <v>375</v>
      </c>
      <c r="F325" s="33" t="s">
        <v>385</v>
      </c>
      <c r="G325" s="8" t="s">
        <v>376</v>
      </c>
      <c r="H325" s="8" t="s">
        <v>376</v>
      </c>
      <c r="I325" s="8" t="s">
        <v>376</v>
      </c>
      <c r="J325" s="34">
        <v>14.6</v>
      </c>
      <c r="K325" s="11">
        <v>51</v>
      </c>
      <c r="L325" s="74">
        <f t="shared" si="23"/>
        <v>744.6</v>
      </c>
      <c r="M325" s="74">
        <f t="shared" si="33"/>
        <v>744.6</v>
      </c>
      <c r="N325" s="12">
        <v>100</v>
      </c>
    </row>
    <row r="326" spans="1:14">
      <c r="A326" s="25" t="s">
        <v>74</v>
      </c>
      <c r="B326" s="25" t="s">
        <v>364</v>
      </c>
      <c r="C326" s="2" t="s">
        <v>365</v>
      </c>
      <c r="D326" s="8" t="s">
        <v>375</v>
      </c>
      <c r="E326" s="8" t="s">
        <v>375</v>
      </c>
      <c r="F326" s="33" t="s">
        <v>386</v>
      </c>
      <c r="G326" s="8" t="s">
        <v>376</v>
      </c>
      <c r="H326" s="8" t="s">
        <v>376</v>
      </c>
      <c r="I326" s="8" t="s">
        <v>376</v>
      </c>
      <c r="J326" s="34">
        <v>5</v>
      </c>
      <c r="K326" s="11">
        <v>51</v>
      </c>
      <c r="L326" s="74">
        <f t="shared" si="23"/>
        <v>255</v>
      </c>
      <c r="M326" s="74">
        <f t="shared" si="33"/>
        <v>255</v>
      </c>
      <c r="N326" s="12">
        <v>100</v>
      </c>
    </row>
    <row r="327" spans="1:14">
      <c r="A327" s="25" t="s">
        <v>74</v>
      </c>
      <c r="B327" s="25" t="s">
        <v>342</v>
      </c>
      <c r="C327" s="2" t="s">
        <v>366</v>
      </c>
      <c r="D327" s="8" t="s">
        <v>375</v>
      </c>
      <c r="E327" s="8" t="s">
        <v>375</v>
      </c>
      <c r="F327" s="35" t="s">
        <v>387</v>
      </c>
      <c r="G327" s="8" t="s">
        <v>376</v>
      </c>
      <c r="H327" s="8" t="s">
        <v>376</v>
      </c>
      <c r="I327" s="8" t="s">
        <v>376</v>
      </c>
      <c r="J327" s="36">
        <v>6.5</v>
      </c>
      <c r="K327" s="11">
        <v>51</v>
      </c>
      <c r="L327" s="74">
        <f t="shared" si="23"/>
        <v>331.5</v>
      </c>
      <c r="M327" s="74">
        <f t="shared" si="33"/>
        <v>331.5</v>
      </c>
      <c r="N327" s="12">
        <v>100</v>
      </c>
    </row>
    <row r="328" spans="1:14">
      <c r="A328" s="25" t="s">
        <v>74</v>
      </c>
      <c r="B328" s="25" t="s">
        <v>342</v>
      </c>
      <c r="C328" s="2" t="s">
        <v>366</v>
      </c>
      <c r="D328" s="8" t="s">
        <v>375</v>
      </c>
      <c r="E328" s="8" t="s">
        <v>375</v>
      </c>
      <c r="F328" s="35" t="s">
        <v>388</v>
      </c>
      <c r="G328" s="8" t="s">
        <v>376</v>
      </c>
      <c r="H328" s="8" t="s">
        <v>376</v>
      </c>
      <c r="I328" s="8" t="s">
        <v>376</v>
      </c>
      <c r="J328" s="36">
        <v>2.2999999999999998</v>
      </c>
      <c r="K328" s="11">
        <v>51</v>
      </c>
      <c r="L328" s="74">
        <f t="shared" si="23"/>
        <v>117.3</v>
      </c>
      <c r="M328" s="74">
        <f t="shared" si="33"/>
        <v>117.3</v>
      </c>
      <c r="N328" s="12">
        <v>100</v>
      </c>
    </row>
    <row r="329" spans="1:14">
      <c r="A329" s="25" t="s">
        <v>74</v>
      </c>
      <c r="B329" s="25" t="s">
        <v>342</v>
      </c>
      <c r="C329" s="2" t="s">
        <v>366</v>
      </c>
      <c r="D329" s="8" t="s">
        <v>375</v>
      </c>
      <c r="E329" s="8" t="s">
        <v>375</v>
      </c>
      <c r="F329" s="35" t="s">
        <v>391</v>
      </c>
      <c r="G329" s="8" t="s">
        <v>376</v>
      </c>
      <c r="H329" s="8" t="s">
        <v>376</v>
      </c>
      <c r="I329" s="8" t="s">
        <v>376</v>
      </c>
      <c r="J329" s="10">
        <v>8.8000000000000007</v>
      </c>
      <c r="K329" s="11">
        <v>51</v>
      </c>
      <c r="L329" s="74">
        <f t="shared" si="23"/>
        <v>448.8</v>
      </c>
      <c r="M329" s="74">
        <f t="shared" si="33"/>
        <v>448.8</v>
      </c>
      <c r="N329" s="12">
        <v>100</v>
      </c>
    </row>
    <row r="330" spans="1:14">
      <c r="A330" s="152" t="s">
        <v>442</v>
      </c>
      <c r="B330" s="153"/>
      <c r="C330" s="153"/>
      <c r="D330" s="153"/>
      <c r="E330" s="153"/>
      <c r="F330" s="153"/>
      <c r="G330" s="153"/>
      <c r="H330" s="153"/>
      <c r="I330" s="153"/>
      <c r="J330" s="154"/>
      <c r="K330" s="11">
        <f>SUM(K314:K329)</f>
        <v>816</v>
      </c>
      <c r="L330" s="74">
        <f t="shared" ref="L330:M330" si="34">SUM(L314:L329)</f>
        <v>18752.699999999997</v>
      </c>
      <c r="M330" s="74">
        <f t="shared" si="34"/>
        <v>15728.4</v>
      </c>
      <c r="N330" s="12"/>
    </row>
    <row r="331" spans="1:14">
      <c r="A331" s="64"/>
      <c r="B331" s="64"/>
      <c r="C331" s="96"/>
      <c r="D331" s="67"/>
      <c r="E331" s="67"/>
      <c r="F331" s="121"/>
      <c r="G331" s="67"/>
      <c r="H331" s="67"/>
      <c r="I331" s="67"/>
      <c r="J331" s="70"/>
      <c r="K331" s="71"/>
      <c r="L331" s="75"/>
      <c r="M331" s="75"/>
      <c r="N331" s="72"/>
    </row>
    <row r="332" spans="1:14" ht="14.25">
      <c r="A332" s="88" t="s">
        <v>444</v>
      </c>
      <c r="B332" s="64"/>
      <c r="C332" s="96"/>
      <c r="D332" s="67"/>
      <c r="E332" s="67"/>
      <c r="F332" s="121"/>
      <c r="G332" s="67"/>
      <c r="H332" s="67"/>
      <c r="I332" s="67"/>
      <c r="J332" s="70"/>
      <c r="K332" s="71"/>
      <c r="L332" s="75"/>
      <c r="M332" s="75"/>
      <c r="N332" s="72"/>
    </row>
    <row r="333" spans="1:14" ht="14.25">
      <c r="A333" s="88" t="s">
        <v>443</v>
      </c>
      <c r="B333" s="64"/>
      <c r="C333" s="96"/>
      <c r="D333" s="67"/>
      <c r="E333" s="67"/>
      <c r="F333" s="121"/>
      <c r="G333" s="67"/>
      <c r="H333" s="67"/>
      <c r="I333" s="67"/>
      <c r="J333" s="70"/>
      <c r="K333" s="71"/>
      <c r="L333" s="75"/>
      <c r="M333" s="75"/>
      <c r="N333" s="72"/>
    </row>
    <row r="334" spans="1:14">
      <c r="A334" s="64"/>
      <c r="B334" s="64"/>
      <c r="C334" s="96"/>
      <c r="D334" s="67"/>
      <c r="E334" s="67"/>
      <c r="F334" s="121"/>
      <c r="G334" s="67"/>
      <c r="H334" s="67"/>
      <c r="I334" s="67"/>
      <c r="J334" s="70"/>
      <c r="K334" s="71"/>
      <c r="L334" s="75"/>
      <c r="M334" s="75"/>
      <c r="N334" s="72"/>
    </row>
    <row r="335" spans="1:14">
      <c r="A335" s="64"/>
      <c r="B335" s="64"/>
      <c r="C335" s="96"/>
      <c r="D335" s="67"/>
      <c r="E335" s="67"/>
      <c r="F335" s="121"/>
      <c r="G335" s="67"/>
      <c r="H335" s="67"/>
      <c r="I335" s="67"/>
      <c r="J335" s="70"/>
      <c r="K335" s="71"/>
      <c r="L335" s="75"/>
      <c r="M335" s="75"/>
      <c r="N335" s="72"/>
    </row>
    <row r="336" spans="1:14">
      <c r="A336" s="64"/>
      <c r="B336" s="64"/>
      <c r="C336" s="96"/>
      <c r="D336" s="67"/>
      <c r="E336" s="67"/>
      <c r="F336" s="121"/>
      <c r="G336" s="67"/>
      <c r="H336" s="67"/>
      <c r="I336" s="67"/>
      <c r="J336" s="70"/>
      <c r="K336" s="71"/>
      <c r="L336" s="75"/>
      <c r="M336" s="75"/>
      <c r="N336" s="72"/>
    </row>
    <row r="337" spans="1:14">
      <c r="A337" s="64"/>
      <c r="B337" s="64"/>
      <c r="C337" s="96"/>
      <c r="D337" s="67"/>
      <c r="E337" s="67"/>
      <c r="F337" s="121"/>
      <c r="G337" s="67"/>
      <c r="H337" s="67"/>
      <c r="I337" s="67"/>
      <c r="J337" s="70"/>
      <c r="K337" s="71"/>
      <c r="L337" s="75"/>
      <c r="M337" s="75"/>
      <c r="N337" s="72"/>
    </row>
    <row r="338" spans="1:14">
      <c r="A338" s="64"/>
      <c r="B338" s="64"/>
      <c r="C338" s="96"/>
      <c r="D338" s="67"/>
      <c r="E338" s="67"/>
      <c r="F338" s="121"/>
      <c r="G338" s="67"/>
      <c r="H338" s="67"/>
      <c r="I338" s="67"/>
      <c r="J338" s="70"/>
      <c r="K338" s="71"/>
      <c r="L338" s="75"/>
      <c r="M338" s="75"/>
      <c r="N338" s="72"/>
    </row>
    <row r="339" spans="1:14">
      <c r="A339" s="64"/>
      <c r="B339" s="64"/>
      <c r="C339" s="96"/>
      <c r="D339" s="67"/>
      <c r="E339" s="67"/>
      <c r="F339" s="121"/>
      <c r="G339" s="67"/>
      <c r="H339" s="67"/>
      <c r="I339" s="67"/>
      <c r="J339" s="70"/>
      <c r="K339" s="71"/>
      <c r="L339" s="75"/>
      <c r="M339" s="75"/>
      <c r="N339" s="72"/>
    </row>
    <row r="340" spans="1:14">
      <c r="A340" s="64"/>
      <c r="B340" s="64"/>
      <c r="C340" s="96"/>
      <c r="D340" s="67"/>
      <c r="E340" s="67"/>
      <c r="F340" s="121"/>
      <c r="G340" s="67"/>
      <c r="H340" s="67"/>
      <c r="I340" s="67"/>
      <c r="J340" s="70"/>
      <c r="K340" s="71"/>
      <c r="L340" s="75"/>
      <c r="M340" s="75"/>
      <c r="N340" s="72"/>
    </row>
    <row r="341" spans="1:14">
      <c r="A341" s="25" t="s">
        <v>76</v>
      </c>
      <c r="B341" s="7" t="s">
        <v>1</v>
      </c>
      <c r="C341" s="7" t="s">
        <v>284</v>
      </c>
      <c r="D341" s="27" t="s">
        <v>0</v>
      </c>
      <c r="E341" s="27" t="s">
        <v>3</v>
      </c>
      <c r="F341" s="27" t="s">
        <v>4</v>
      </c>
      <c r="G341" s="28" t="s">
        <v>5</v>
      </c>
      <c r="H341" s="27" t="s">
        <v>6</v>
      </c>
      <c r="I341" s="27" t="s">
        <v>7</v>
      </c>
      <c r="J341" s="27" t="s">
        <v>8</v>
      </c>
      <c r="K341" s="27" t="s">
        <v>393</v>
      </c>
      <c r="L341" s="73" t="s">
        <v>394</v>
      </c>
      <c r="M341" s="73" t="s">
        <v>395</v>
      </c>
      <c r="N341" s="29" t="s">
        <v>9</v>
      </c>
    </row>
    <row r="342" spans="1:14">
      <c r="A342" s="4" t="s">
        <v>288</v>
      </c>
      <c r="B342" s="20" t="s">
        <v>15</v>
      </c>
      <c r="C342" s="5" t="s">
        <v>57</v>
      </c>
      <c r="D342" s="22" t="str">
        <f>"PO1509090009"</f>
        <v>PO1509090009</v>
      </c>
      <c r="E342" s="22" t="str">
        <f>"9787561546611.001"</f>
        <v>9787561546611.001</v>
      </c>
      <c r="F342" s="23" t="s">
        <v>294</v>
      </c>
      <c r="G342" s="8" t="s">
        <v>164</v>
      </c>
      <c r="H342" s="9" t="s">
        <v>98</v>
      </c>
      <c r="I342" s="8" t="s">
        <v>295</v>
      </c>
      <c r="J342" s="10">
        <v>32</v>
      </c>
      <c r="K342" s="11">
        <v>53</v>
      </c>
      <c r="L342" s="74">
        <f t="shared" si="23"/>
        <v>1696</v>
      </c>
      <c r="M342" s="74">
        <f t="shared" si="21"/>
        <v>1356.8000000000002</v>
      </c>
      <c r="N342" s="12">
        <v>80</v>
      </c>
    </row>
    <row r="343" spans="1:14">
      <c r="A343" s="25" t="s">
        <v>74</v>
      </c>
      <c r="B343" s="25" t="s">
        <v>15</v>
      </c>
      <c r="C343" s="2" t="s">
        <v>327</v>
      </c>
      <c r="D343" s="8" t="str">
        <f t="shared" ref="D343:D350" si="35">"PO1509170090"</f>
        <v>PO1509170090</v>
      </c>
      <c r="E343" s="8" t="str">
        <f>"9787506818933"</f>
        <v>9787506818933</v>
      </c>
      <c r="F343" s="21" t="s">
        <v>302</v>
      </c>
      <c r="G343" s="8" t="s">
        <v>303</v>
      </c>
      <c r="H343" s="9" t="s">
        <v>304</v>
      </c>
      <c r="I343" s="8" t="s">
        <v>305</v>
      </c>
      <c r="J343" s="10">
        <v>26.8</v>
      </c>
      <c r="K343" s="11">
        <v>53</v>
      </c>
      <c r="L343" s="74">
        <f t="shared" si="23"/>
        <v>1420.4</v>
      </c>
      <c r="M343" s="74">
        <f t="shared" si="21"/>
        <v>1136.3200000000002</v>
      </c>
      <c r="N343" s="12">
        <v>80</v>
      </c>
    </row>
    <row r="344" spans="1:14">
      <c r="A344" s="25" t="s">
        <v>74</v>
      </c>
      <c r="B344" s="25" t="s">
        <v>15</v>
      </c>
      <c r="C344" s="2" t="s">
        <v>327</v>
      </c>
      <c r="D344" s="8" t="str">
        <f t="shared" si="35"/>
        <v>PO1509170090</v>
      </c>
      <c r="E344" s="8" t="str">
        <f>"9787310042838"</f>
        <v>9787310042838</v>
      </c>
      <c r="F344" s="21" t="s">
        <v>306</v>
      </c>
      <c r="G344" s="8" t="s">
        <v>307</v>
      </c>
      <c r="H344" s="9" t="s">
        <v>308</v>
      </c>
      <c r="I344" s="8" t="s">
        <v>309</v>
      </c>
      <c r="J344" s="10">
        <v>28</v>
      </c>
      <c r="K344" s="11">
        <v>53</v>
      </c>
      <c r="L344" s="74">
        <f t="shared" si="23"/>
        <v>1484</v>
      </c>
      <c r="M344" s="74">
        <f t="shared" ref="M344:M350" si="36">L344*0.8</f>
        <v>1187.2</v>
      </c>
      <c r="N344" s="12">
        <v>80</v>
      </c>
    </row>
    <row r="345" spans="1:14">
      <c r="A345" s="25" t="s">
        <v>74</v>
      </c>
      <c r="B345" s="25" t="s">
        <v>15</v>
      </c>
      <c r="C345" s="2" t="s">
        <v>328</v>
      </c>
      <c r="D345" s="8" t="str">
        <f t="shared" si="35"/>
        <v>PO1509170090</v>
      </c>
      <c r="E345" s="8" t="str">
        <f>"9787040284478.001"</f>
        <v>9787040284478.001</v>
      </c>
      <c r="F345" s="21" t="s">
        <v>281</v>
      </c>
      <c r="G345" s="8" t="s">
        <v>214</v>
      </c>
      <c r="H345" s="9" t="s">
        <v>234</v>
      </c>
      <c r="I345" s="8" t="s">
        <v>280</v>
      </c>
      <c r="J345" s="10">
        <v>31.9</v>
      </c>
      <c r="K345" s="11">
        <v>53</v>
      </c>
      <c r="L345" s="74">
        <f t="shared" si="23"/>
        <v>1690.6999999999998</v>
      </c>
      <c r="M345" s="74">
        <f t="shared" si="36"/>
        <v>1352.56</v>
      </c>
      <c r="N345" s="12">
        <v>80</v>
      </c>
    </row>
    <row r="346" spans="1:14">
      <c r="A346" s="25" t="s">
        <v>74</v>
      </c>
      <c r="B346" s="25" t="s">
        <v>15</v>
      </c>
      <c r="C346" s="2" t="s">
        <v>327</v>
      </c>
      <c r="D346" s="8" t="str">
        <f t="shared" si="35"/>
        <v>PO1509170090</v>
      </c>
      <c r="E346" s="8" t="str">
        <f>"9787313080844"</f>
        <v>9787313080844</v>
      </c>
      <c r="F346" s="21" t="s">
        <v>310</v>
      </c>
      <c r="G346" s="8" t="s">
        <v>311</v>
      </c>
      <c r="H346" s="9" t="s">
        <v>241</v>
      </c>
      <c r="I346" s="8" t="s">
        <v>312</v>
      </c>
      <c r="J346" s="10">
        <v>32</v>
      </c>
      <c r="K346" s="11">
        <v>53</v>
      </c>
      <c r="L346" s="74">
        <f t="shared" si="23"/>
        <v>1696</v>
      </c>
      <c r="M346" s="74">
        <f t="shared" si="36"/>
        <v>1356.8000000000002</v>
      </c>
      <c r="N346" s="12">
        <v>80</v>
      </c>
    </row>
    <row r="347" spans="1:14">
      <c r="A347" s="25" t="s">
        <v>320</v>
      </c>
      <c r="B347" s="25" t="s">
        <v>15</v>
      </c>
      <c r="C347" s="2" t="s">
        <v>328</v>
      </c>
      <c r="D347" s="8" t="str">
        <f t="shared" si="35"/>
        <v>PO1509170090</v>
      </c>
      <c r="E347" s="8" t="str">
        <f>"9787302328605"</f>
        <v>9787302328605</v>
      </c>
      <c r="F347" s="21" t="s">
        <v>274</v>
      </c>
      <c r="G347" s="8" t="s">
        <v>198</v>
      </c>
      <c r="H347" s="9" t="s">
        <v>273</v>
      </c>
      <c r="I347" s="8" t="s">
        <v>272</v>
      </c>
      <c r="J347" s="10">
        <v>33</v>
      </c>
      <c r="K347" s="11">
        <v>53</v>
      </c>
      <c r="L347" s="74">
        <f t="shared" ref="L347:L357" si="37">J347*K347</f>
        <v>1749</v>
      </c>
      <c r="M347" s="74">
        <f t="shared" si="36"/>
        <v>1399.2</v>
      </c>
      <c r="N347" s="12">
        <v>80</v>
      </c>
    </row>
    <row r="348" spans="1:14">
      <c r="A348" s="25" t="s">
        <v>74</v>
      </c>
      <c r="B348" s="25" t="s">
        <v>15</v>
      </c>
      <c r="C348" s="2" t="s">
        <v>328</v>
      </c>
      <c r="D348" s="8" t="str">
        <f t="shared" si="35"/>
        <v>PO1509170090</v>
      </c>
      <c r="E348" s="8" t="str">
        <f>"9787040406801"</f>
        <v>9787040406801</v>
      </c>
      <c r="F348" s="21" t="s">
        <v>313</v>
      </c>
      <c r="G348" s="8" t="s">
        <v>214</v>
      </c>
      <c r="H348" s="9" t="s">
        <v>136</v>
      </c>
      <c r="I348" s="8" t="s">
        <v>314</v>
      </c>
      <c r="J348" s="10">
        <v>35</v>
      </c>
      <c r="K348" s="11">
        <v>53</v>
      </c>
      <c r="L348" s="74">
        <f t="shared" si="37"/>
        <v>1855</v>
      </c>
      <c r="M348" s="74">
        <f t="shared" si="36"/>
        <v>1484</v>
      </c>
      <c r="N348" s="12">
        <v>80</v>
      </c>
    </row>
    <row r="349" spans="1:14">
      <c r="A349" s="25" t="s">
        <v>74</v>
      </c>
      <c r="B349" s="25" t="s">
        <v>15</v>
      </c>
      <c r="C349" s="2" t="s">
        <v>327</v>
      </c>
      <c r="D349" s="8" t="str">
        <f t="shared" si="35"/>
        <v>PO1509170090</v>
      </c>
      <c r="E349" s="8" t="str">
        <f>"9787504179296"</f>
        <v>9787504179296</v>
      </c>
      <c r="F349" s="21" t="s">
        <v>279</v>
      </c>
      <c r="G349" s="8" t="s">
        <v>278</v>
      </c>
      <c r="H349" s="9" t="s">
        <v>273</v>
      </c>
      <c r="I349" s="8" t="s">
        <v>277</v>
      </c>
      <c r="J349" s="10">
        <v>38.799999999999997</v>
      </c>
      <c r="K349" s="11">
        <v>53</v>
      </c>
      <c r="L349" s="74">
        <f t="shared" si="37"/>
        <v>2056.3999999999996</v>
      </c>
      <c r="M349" s="74">
        <f t="shared" si="36"/>
        <v>1645.12</v>
      </c>
      <c r="N349" s="12">
        <v>80</v>
      </c>
    </row>
    <row r="350" spans="1:14">
      <c r="A350" s="25" t="s">
        <v>74</v>
      </c>
      <c r="B350" s="25" t="s">
        <v>15</v>
      </c>
      <c r="C350" s="2" t="s">
        <v>327</v>
      </c>
      <c r="D350" s="8" t="str">
        <f t="shared" si="35"/>
        <v>PO1509170090</v>
      </c>
      <c r="E350" s="8" t="str">
        <f>"9787310042401"</f>
        <v>9787310042401</v>
      </c>
      <c r="F350" s="21" t="s">
        <v>316</v>
      </c>
      <c r="G350" s="8" t="s">
        <v>307</v>
      </c>
      <c r="H350" s="9" t="s">
        <v>273</v>
      </c>
      <c r="I350" s="8" t="s">
        <v>317</v>
      </c>
      <c r="J350" s="10">
        <v>39</v>
      </c>
      <c r="K350" s="11">
        <v>53</v>
      </c>
      <c r="L350" s="74">
        <f t="shared" si="37"/>
        <v>2067</v>
      </c>
      <c r="M350" s="74">
        <f t="shared" si="36"/>
        <v>1653.6000000000001</v>
      </c>
      <c r="N350" s="12">
        <v>80</v>
      </c>
    </row>
    <row r="351" spans="1:14">
      <c r="A351" s="25" t="s">
        <v>74</v>
      </c>
      <c r="B351" s="25" t="s">
        <v>15</v>
      </c>
      <c r="C351" s="2" t="s">
        <v>327</v>
      </c>
      <c r="D351" s="8" t="s">
        <v>375</v>
      </c>
      <c r="E351" s="8" t="s">
        <v>375</v>
      </c>
      <c r="F351" s="31" t="s">
        <v>383</v>
      </c>
      <c r="G351" s="8" t="s">
        <v>389</v>
      </c>
      <c r="H351" s="8" t="s">
        <v>376</v>
      </c>
      <c r="I351" s="8" t="s">
        <v>376</v>
      </c>
      <c r="J351" s="32">
        <v>16</v>
      </c>
      <c r="K351" s="11">
        <v>53</v>
      </c>
      <c r="L351" s="74">
        <f t="shared" si="37"/>
        <v>848</v>
      </c>
      <c r="M351" s="74">
        <f t="shared" ref="M351:M357" si="38">L351*1</f>
        <v>848</v>
      </c>
      <c r="N351" s="12">
        <v>100</v>
      </c>
    </row>
    <row r="352" spans="1:14">
      <c r="A352" s="25" t="s">
        <v>74</v>
      </c>
      <c r="B352" s="25" t="s">
        <v>15</v>
      </c>
      <c r="C352" s="2" t="s">
        <v>327</v>
      </c>
      <c r="D352" s="8" t="s">
        <v>375</v>
      </c>
      <c r="E352" s="8" t="s">
        <v>375</v>
      </c>
      <c r="F352" s="31" t="s">
        <v>384</v>
      </c>
      <c r="G352" s="8" t="s">
        <v>390</v>
      </c>
      <c r="H352" s="8" t="s">
        <v>376</v>
      </c>
      <c r="I352" s="8" t="s">
        <v>376</v>
      </c>
      <c r="J352" s="32">
        <v>18</v>
      </c>
      <c r="K352" s="11">
        <v>53</v>
      </c>
      <c r="L352" s="74">
        <f t="shared" si="37"/>
        <v>954</v>
      </c>
      <c r="M352" s="74">
        <f t="shared" si="38"/>
        <v>954</v>
      </c>
      <c r="N352" s="12">
        <v>100</v>
      </c>
    </row>
    <row r="353" spans="1:14">
      <c r="A353" s="25" t="s">
        <v>74</v>
      </c>
      <c r="B353" s="25" t="s">
        <v>15</v>
      </c>
      <c r="C353" s="2" t="s">
        <v>327</v>
      </c>
      <c r="D353" s="8" t="s">
        <v>375</v>
      </c>
      <c r="E353" s="8" t="s">
        <v>375</v>
      </c>
      <c r="F353" s="33" t="s">
        <v>385</v>
      </c>
      <c r="G353" s="8" t="s">
        <v>376</v>
      </c>
      <c r="H353" s="8" t="s">
        <v>376</v>
      </c>
      <c r="I353" s="8" t="s">
        <v>376</v>
      </c>
      <c r="J353" s="34">
        <v>14.6</v>
      </c>
      <c r="K353" s="11">
        <v>53</v>
      </c>
      <c r="L353" s="74">
        <f t="shared" si="37"/>
        <v>773.8</v>
      </c>
      <c r="M353" s="74">
        <f t="shared" si="38"/>
        <v>773.8</v>
      </c>
      <c r="N353" s="12">
        <v>100</v>
      </c>
    </row>
    <row r="354" spans="1:14">
      <c r="A354" s="25" t="s">
        <v>74</v>
      </c>
      <c r="B354" s="25" t="s">
        <v>15</v>
      </c>
      <c r="C354" s="2" t="s">
        <v>327</v>
      </c>
      <c r="D354" s="8" t="s">
        <v>375</v>
      </c>
      <c r="E354" s="8" t="s">
        <v>375</v>
      </c>
      <c r="F354" s="33" t="s">
        <v>386</v>
      </c>
      <c r="G354" s="8" t="s">
        <v>376</v>
      </c>
      <c r="H354" s="8" t="s">
        <v>376</v>
      </c>
      <c r="I354" s="8" t="s">
        <v>376</v>
      </c>
      <c r="J354" s="34">
        <v>5</v>
      </c>
      <c r="K354" s="11">
        <v>53</v>
      </c>
      <c r="L354" s="74">
        <f t="shared" si="37"/>
        <v>265</v>
      </c>
      <c r="M354" s="74">
        <f t="shared" si="38"/>
        <v>265</v>
      </c>
      <c r="N354" s="12">
        <v>100</v>
      </c>
    </row>
    <row r="355" spans="1:14">
      <c r="A355" s="25" t="s">
        <v>74</v>
      </c>
      <c r="B355" s="25" t="s">
        <v>15</v>
      </c>
      <c r="C355" s="2" t="s">
        <v>327</v>
      </c>
      <c r="D355" s="8" t="s">
        <v>375</v>
      </c>
      <c r="E355" s="8" t="s">
        <v>375</v>
      </c>
      <c r="F355" s="35" t="s">
        <v>387</v>
      </c>
      <c r="G355" s="8" t="s">
        <v>376</v>
      </c>
      <c r="H355" s="8" t="s">
        <v>376</v>
      </c>
      <c r="I355" s="8" t="s">
        <v>376</v>
      </c>
      <c r="J355" s="36">
        <v>6.5</v>
      </c>
      <c r="K355" s="11">
        <v>53</v>
      </c>
      <c r="L355" s="74">
        <f t="shared" si="37"/>
        <v>344.5</v>
      </c>
      <c r="M355" s="74">
        <f t="shared" si="38"/>
        <v>344.5</v>
      </c>
      <c r="N355" s="12">
        <v>100</v>
      </c>
    </row>
    <row r="356" spans="1:14">
      <c r="A356" s="25" t="s">
        <v>74</v>
      </c>
      <c r="B356" s="25" t="s">
        <v>15</v>
      </c>
      <c r="C356" s="2" t="s">
        <v>327</v>
      </c>
      <c r="D356" s="8" t="s">
        <v>375</v>
      </c>
      <c r="E356" s="8" t="s">
        <v>375</v>
      </c>
      <c r="F356" s="35" t="s">
        <v>388</v>
      </c>
      <c r="G356" s="8" t="s">
        <v>376</v>
      </c>
      <c r="H356" s="8" t="s">
        <v>376</v>
      </c>
      <c r="I356" s="8" t="s">
        <v>376</v>
      </c>
      <c r="J356" s="36">
        <v>2.2999999999999998</v>
      </c>
      <c r="K356" s="11">
        <v>53</v>
      </c>
      <c r="L356" s="74">
        <f t="shared" si="37"/>
        <v>121.89999999999999</v>
      </c>
      <c r="M356" s="74">
        <f t="shared" si="38"/>
        <v>121.89999999999999</v>
      </c>
      <c r="N356" s="12">
        <v>100</v>
      </c>
    </row>
    <row r="357" spans="1:14">
      <c r="A357" s="25" t="s">
        <v>74</v>
      </c>
      <c r="B357" s="25" t="s">
        <v>15</v>
      </c>
      <c r="C357" s="2" t="s">
        <v>327</v>
      </c>
      <c r="D357" s="8" t="s">
        <v>375</v>
      </c>
      <c r="E357" s="8" t="s">
        <v>375</v>
      </c>
      <c r="F357" s="35" t="s">
        <v>391</v>
      </c>
      <c r="G357" s="8" t="s">
        <v>376</v>
      </c>
      <c r="H357" s="8" t="s">
        <v>376</v>
      </c>
      <c r="I357" s="8" t="s">
        <v>376</v>
      </c>
      <c r="J357" s="10">
        <v>8.8000000000000007</v>
      </c>
      <c r="K357" s="11">
        <v>53</v>
      </c>
      <c r="L357" s="74">
        <f t="shared" si="37"/>
        <v>466.40000000000003</v>
      </c>
      <c r="M357" s="74">
        <f t="shared" si="38"/>
        <v>466.40000000000003</v>
      </c>
      <c r="N357" s="12">
        <v>100</v>
      </c>
    </row>
    <row r="358" spans="1:14">
      <c r="A358" s="152" t="s">
        <v>442</v>
      </c>
      <c r="B358" s="153"/>
      <c r="C358" s="153"/>
      <c r="D358" s="153"/>
      <c r="E358" s="153"/>
      <c r="F358" s="153"/>
      <c r="G358" s="153"/>
      <c r="H358" s="153"/>
      <c r="I358" s="153"/>
      <c r="J358" s="154"/>
      <c r="K358" s="11">
        <f>SUM(K342:K357)</f>
        <v>848</v>
      </c>
      <c r="L358" s="74">
        <f t="shared" ref="L358:M358" si="39">SUM(L342:L357)</f>
        <v>19488.100000000002</v>
      </c>
      <c r="M358" s="74">
        <f t="shared" si="39"/>
        <v>16345.199999999999</v>
      </c>
      <c r="N358" s="12"/>
    </row>
    <row r="359" spans="1:14">
      <c r="A359" s="64"/>
      <c r="B359" s="64"/>
      <c r="C359" s="96"/>
      <c r="D359" s="67"/>
      <c r="E359" s="67"/>
      <c r="F359" s="121"/>
      <c r="G359" s="67"/>
      <c r="H359" s="67"/>
      <c r="I359" s="67"/>
      <c r="J359" s="70"/>
      <c r="K359" s="71"/>
      <c r="L359" s="75"/>
      <c r="M359" s="75"/>
      <c r="N359" s="72"/>
    </row>
    <row r="360" spans="1:14" ht="14.25">
      <c r="A360" s="88" t="s">
        <v>444</v>
      </c>
      <c r="B360" s="64"/>
      <c r="C360" s="96"/>
      <c r="D360" s="67"/>
      <c r="E360" s="67"/>
      <c r="F360" s="121"/>
      <c r="G360" s="67"/>
      <c r="H360" s="67"/>
      <c r="I360" s="67"/>
      <c r="J360" s="70"/>
      <c r="K360" s="71"/>
      <c r="L360" s="75"/>
      <c r="M360" s="75"/>
      <c r="N360" s="72"/>
    </row>
    <row r="361" spans="1:14" ht="14.25">
      <c r="A361" s="88" t="s">
        <v>443</v>
      </c>
      <c r="B361" s="64"/>
      <c r="C361" s="96"/>
      <c r="D361" s="67"/>
      <c r="E361" s="67"/>
      <c r="F361" s="121"/>
      <c r="G361" s="67"/>
      <c r="H361" s="67"/>
      <c r="I361" s="67"/>
      <c r="J361" s="70"/>
      <c r="K361" s="71"/>
      <c r="L361" s="75"/>
      <c r="M361" s="75"/>
      <c r="N361" s="72"/>
    </row>
    <row r="362" spans="1:14">
      <c r="A362" s="64"/>
      <c r="B362" s="64"/>
      <c r="C362" s="96"/>
      <c r="D362" s="67"/>
      <c r="E362" s="67"/>
      <c r="F362" s="121"/>
      <c r="G362" s="67"/>
      <c r="H362" s="67"/>
      <c r="I362" s="67"/>
      <c r="J362" s="70"/>
      <c r="K362" s="71"/>
      <c r="L362" s="75"/>
      <c r="M362" s="75"/>
      <c r="N362" s="72"/>
    </row>
    <row r="363" spans="1:14">
      <c r="A363" s="64"/>
      <c r="B363" s="64"/>
      <c r="C363" s="96"/>
      <c r="D363" s="67"/>
      <c r="E363" s="67"/>
      <c r="F363" s="121"/>
      <c r="G363" s="67"/>
      <c r="H363" s="67"/>
      <c r="I363" s="67"/>
      <c r="J363" s="70"/>
      <c r="K363" s="71"/>
      <c r="L363" s="75"/>
      <c r="M363" s="75"/>
      <c r="N363" s="72"/>
    </row>
    <row r="364" spans="1:14">
      <c r="A364" s="64"/>
      <c r="B364" s="64"/>
      <c r="C364" s="96"/>
      <c r="D364" s="67"/>
      <c r="E364" s="67"/>
      <c r="F364" s="121"/>
      <c r="G364" s="67"/>
      <c r="H364" s="67"/>
      <c r="I364" s="67"/>
      <c r="J364" s="70"/>
      <c r="K364" s="71"/>
      <c r="L364" s="75"/>
      <c r="M364" s="75"/>
      <c r="N364" s="72"/>
    </row>
    <row r="365" spans="1:14">
      <c r="A365" s="64"/>
      <c r="B365" s="64"/>
      <c r="C365" s="96"/>
      <c r="D365" s="67"/>
      <c r="E365" s="67"/>
      <c r="F365" s="121"/>
      <c r="G365" s="67"/>
      <c r="H365" s="67"/>
      <c r="I365" s="67"/>
      <c r="J365" s="70"/>
      <c r="K365" s="71"/>
      <c r="L365" s="75"/>
      <c r="M365" s="75"/>
      <c r="N365" s="72"/>
    </row>
    <row r="366" spans="1:14">
      <c r="A366" s="64"/>
      <c r="B366" s="64"/>
      <c r="C366" s="96"/>
      <c r="D366" s="67"/>
      <c r="E366" s="67"/>
      <c r="F366" s="121"/>
      <c r="G366" s="67"/>
      <c r="H366" s="67"/>
      <c r="I366" s="67"/>
      <c r="J366" s="70"/>
      <c r="K366" s="71"/>
      <c r="L366" s="75"/>
      <c r="M366" s="75"/>
      <c r="N366" s="72"/>
    </row>
    <row r="367" spans="1:14">
      <c r="A367" s="64"/>
      <c r="B367" s="64"/>
      <c r="C367" s="96"/>
      <c r="D367" s="67"/>
      <c r="E367" s="67"/>
      <c r="F367" s="121"/>
      <c r="G367" s="67"/>
      <c r="H367" s="67"/>
      <c r="I367" s="67"/>
      <c r="J367" s="70"/>
      <c r="K367" s="71"/>
      <c r="L367" s="75"/>
      <c r="M367" s="75"/>
      <c r="N367" s="72"/>
    </row>
    <row r="368" spans="1:14">
      <c r="A368" s="64"/>
      <c r="B368" s="64"/>
      <c r="C368" s="96"/>
      <c r="D368" s="67"/>
      <c r="E368" s="67"/>
      <c r="F368" s="121"/>
      <c r="G368" s="67"/>
      <c r="H368" s="67"/>
      <c r="I368" s="67"/>
      <c r="J368" s="70"/>
      <c r="K368" s="71"/>
      <c r="L368" s="75"/>
      <c r="M368" s="75"/>
      <c r="N368" s="72"/>
    </row>
    <row r="369" spans="1:14">
      <c r="A369" s="25" t="s">
        <v>76</v>
      </c>
      <c r="B369" s="7" t="s">
        <v>1</v>
      </c>
      <c r="C369" s="7" t="s">
        <v>284</v>
      </c>
      <c r="D369" s="27" t="s">
        <v>0</v>
      </c>
      <c r="E369" s="27" t="s">
        <v>3</v>
      </c>
      <c r="F369" s="27" t="s">
        <v>4</v>
      </c>
      <c r="G369" s="28" t="s">
        <v>5</v>
      </c>
      <c r="H369" s="27" t="s">
        <v>6</v>
      </c>
      <c r="I369" s="27" t="s">
        <v>7</v>
      </c>
      <c r="J369" s="27" t="s">
        <v>8</v>
      </c>
      <c r="K369" s="27" t="s">
        <v>393</v>
      </c>
      <c r="L369" s="73" t="s">
        <v>394</v>
      </c>
      <c r="M369" s="73" t="s">
        <v>395</v>
      </c>
      <c r="N369" s="29" t="s">
        <v>9</v>
      </c>
    </row>
    <row r="370" spans="1:14">
      <c r="A370" s="4" t="s">
        <v>288</v>
      </c>
      <c r="B370" s="20" t="s">
        <v>40</v>
      </c>
      <c r="C370" s="5" t="s">
        <v>58</v>
      </c>
      <c r="D370" s="22" t="str">
        <f>"PO1509090009"</f>
        <v>PO1509090009</v>
      </c>
      <c r="E370" s="22" t="str">
        <f>"9787561546611.001"</f>
        <v>9787561546611.001</v>
      </c>
      <c r="F370" s="23" t="s">
        <v>294</v>
      </c>
      <c r="G370" s="8" t="s">
        <v>164</v>
      </c>
      <c r="H370" s="9" t="s">
        <v>98</v>
      </c>
      <c r="I370" s="8" t="s">
        <v>295</v>
      </c>
      <c r="J370" s="10">
        <v>32</v>
      </c>
      <c r="K370" s="11">
        <v>48</v>
      </c>
      <c r="L370" s="74">
        <f t="shared" ref="L370:L385" si="40">J370*K370</f>
        <v>1536</v>
      </c>
      <c r="M370" s="74">
        <f t="shared" ref="M370:M378" si="41">L370*0.8</f>
        <v>1228.8000000000002</v>
      </c>
      <c r="N370" s="12">
        <v>80</v>
      </c>
    </row>
    <row r="371" spans="1:14">
      <c r="A371" s="25" t="s">
        <v>320</v>
      </c>
      <c r="B371" s="25" t="s">
        <v>40</v>
      </c>
      <c r="C371" s="2" t="s">
        <v>329</v>
      </c>
      <c r="D371" s="8" t="str">
        <f t="shared" ref="D371:D378" si="42">"PO1509170091"</f>
        <v>PO1509170091</v>
      </c>
      <c r="E371" s="8" t="str">
        <f>"9787506818933"</f>
        <v>9787506818933</v>
      </c>
      <c r="F371" s="21" t="s">
        <v>302</v>
      </c>
      <c r="G371" s="8" t="s">
        <v>303</v>
      </c>
      <c r="H371" s="9" t="s">
        <v>304</v>
      </c>
      <c r="I371" s="8" t="s">
        <v>305</v>
      </c>
      <c r="J371" s="10">
        <v>26.8</v>
      </c>
      <c r="K371" s="11">
        <v>48</v>
      </c>
      <c r="L371" s="74">
        <f t="shared" si="40"/>
        <v>1286.4000000000001</v>
      </c>
      <c r="M371" s="74">
        <f t="shared" si="41"/>
        <v>1029.1200000000001</v>
      </c>
      <c r="N371" s="12">
        <v>80</v>
      </c>
    </row>
    <row r="372" spans="1:14">
      <c r="A372" s="25" t="s">
        <v>320</v>
      </c>
      <c r="B372" s="25" t="s">
        <v>40</v>
      </c>
      <c r="C372" s="2" t="s">
        <v>330</v>
      </c>
      <c r="D372" s="8" t="str">
        <f t="shared" si="42"/>
        <v>PO1509170091</v>
      </c>
      <c r="E372" s="8" t="str">
        <f>"9787310042838"</f>
        <v>9787310042838</v>
      </c>
      <c r="F372" s="21" t="s">
        <v>306</v>
      </c>
      <c r="G372" s="8" t="s">
        <v>307</v>
      </c>
      <c r="H372" s="9" t="s">
        <v>308</v>
      </c>
      <c r="I372" s="8" t="s">
        <v>309</v>
      </c>
      <c r="J372" s="10">
        <v>28</v>
      </c>
      <c r="K372" s="11">
        <v>48</v>
      </c>
      <c r="L372" s="74">
        <f t="shared" si="40"/>
        <v>1344</v>
      </c>
      <c r="M372" s="74">
        <f t="shared" si="41"/>
        <v>1075.2</v>
      </c>
      <c r="N372" s="12">
        <v>80</v>
      </c>
    </row>
    <row r="373" spans="1:14">
      <c r="A373" s="25" t="s">
        <v>296</v>
      </c>
      <c r="B373" s="25" t="s">
        <v>40</v>
      </c>
      <c r="C373" s="2" t="s">
        <v>330</v>
      </c>
      <c r="D373" s="8" t="str">
        <f t="shared" si="42"/>
        <v>PO1509170091</v>
      </c>
      <c r="E373" s="8" t="str">
        <f>"9787040284478.001"</f>
        <v>9787040284478.001</v>
      </c>
      <c r="F373" s="21" t="s">
        <v>281</v>
      </c>
      <c r="G373" s="8" t="s">
        <v>214</v>
      </c>
      <c r="H373" s="9" t="s">
        <v>234</v>
      </c>
      <c r="I373" s="8" t="s">
        <v>280</v>
      </c>
      <c r="J373" s="10">
        <v>31.9</v>
      </c>
      <c r="K373" s="11">
        <v>48</v>
      </c>
      <c r="L373" s="74">
        <f t="shared" si="40"/>
        <v>1531.1999999999998</v>
      </c>
      <c r="M373" s="74">
        <f t="shared" si="41"/>
        <v>1224.9599999999998</v>
      </c>
      <c r="N373" s="12">
        <v>80</v>
      </c>
    </row>
    <row r="374" spans="1:14">
      <c r="A374" s="25" t="s">
        <v>320</v>
      </c>
      <c r="B374" s="25" t="s">
        <v>40</v>
      </c>
      <c r="C374" s="2" t="s">
        <v>330</v>
      </c>
      <c r="D374" s="8" t="str">
        <f t="shared" si="42"/>
        <v>PO1509170091</v>
      </c>
      <c r="E374" s="8" t="str">
        <f>"9787313080844"</f>
        <v>9787313080844</v>
      </c>
      <c r="F374" s="21" t="s">
        <v>310</v>
      </c>
      <c r="G374" s="8" t="s">
        <v>311</v>
      </c>
      <c r="H374" s="9" t="s">
        <v>241</v>
      </c>
      <c r="I374" s="8" t="s">
        <v>312</v>
      </c>
      <c r="J374" s="10">
        <v>32</v>
      </c>
      <c r="K374" s="11">
        <v>48</v>
      </c>
      <c r="L374" s="74">
        <f t="shared" si="40"/>
        <v>1536</v>
      </c>
      <c r="M374" s="74">
        <f t="shared" si="41"/>
        <v>1228.8000000000002</v>
      </c>
      <c r="N374" s="12">
        <v>80</v>
      </c>
    </row>
    <row r="375" spans="1:14">
      <c r="A375" s="25" t="s">
        <v>74</v>
      </c>
      <c r="B375" s="25" t="s">
        <v>40</v>
      </c>
      <c r="C375" s="2" t="s">
        <v>331</v>
      </c>
      <c r="D375" s="8" t="str">
        <f t="shared" si="42"/>
        <v>PO1509170091</v>
      </c>
      <c r="E375" s="8" t="str">
        <f>"9787302328605"</f>
        <v>9787302328605</v>
      </c>
      <c r="F375" s="21" t="s">
        <v>274</v>
      </c>
      <c r="G375" s="8" t="s">
        <v>198</v>
      </c>
      <c r="H375" s="9" t="s">
        <v>273</v>
      </c>
      <c r="I375" s="8" t="s">
        <v>272</v>
      </c>
      <c r="J375" s="10">
        <v>33</v>
      </c>
      <c r="K375" s="11">
        <v>48</v>
      </c>
      <c r="L375" s="74">
        <f t="shared" si="40"/>
        <v>1584</v>
      </c>
      <c r="M375" s="74">
        <f t="shared" si="41"/>
        <v>1267.2</v>
      </c>
      <c r="N375" s="12">
        <v>80</v>
      </c>
    </row>
    <row r="376" spans="1:14">
      <c r="A376" s="25" t="s">
        <v>320</v>
      </c>
      <c r="B376" s="25" t="s">
        <v>40</v>
      </c>
      <c r="C376" s="2" t="s">
        <v>331</v>
      </c>
      <c r="D376" s="8" t="str">
        <f t="shared" si="42"/>
        <v>PO1509170091</v>
      </c>
      <c r="E376" s="8" t="str">
        <f>"9787040406801"</f>
        <v>9787040406801</v>
      </c>
      <c r="F376" s="21" t="s">
        <v>313</v>
      </c>
      <c r="G376" s="8" t="s">
        <v>214</v>
      </c>
      <c r="H376" s="9" t="s">
        <v>136</v>
      </c>
      <c r="I376" s="8" t="s">
        <v>314</v>
      </c>
      <c r="J376" s="10">
        <v>35</v>
      </c>
      <c r="K376" s="11">
        <v>48</v>
      </c>
      <c r="L376" s="74">
        <f t="shared" si="40"/>
        <v>1680</v>
      </c>
      <c r="M376" s="74">
        <f t="shared" si="41"/>
        <v>1344</v>
      </c>
      <c r="N376" s="12">
        <v>80</v>
      </c>
    </row>
    <row r="377" spans="1:14">
      <c r="A377" s="25" t="s">
        <v>320</v>
      </c>
      <c r="B377" s="25" t="s">
        <v>40</v>
      </c>
      <c r="C377" s="2" t="s">
        <v>331</v>
      </c>
      <c r="D377" s="8" t="str">
        <f t="shared" si="42"/>
        <v>PO1509170091</v>
      </c>
      <c r="E377" s="8" t="str">
        <f>"9787504179296"</f>
        <v>9787504179296</v>
      </c>
      <c r="F377" s="21" t="s">
        <v>279</v>
      </c>
      <c r="G377" s="8" t="s">
        <v>278</v>
      </c>
      <c r="H377" s="9" t="s">
        <v>273</v>
      </c>
      <c r="I377" s="8" t="s">
        <v>277</v>
      </c>
      <c r="J377" s="10">
        <v>38.799999999999997</v>
      </c>
      <c r="K377" s="11">
        <v>48</v>
      </c>
      <c r="L377" s="74">
        <f t="shared" si="40"/>
        <v>1862.3999999999999</v>
      </c>
      <c r="M377" s="74">
        <f t="shared" si="41"/>
        <v>1489.92</v>
      </c>
      <c r="N377" s="12">
        <v>80</v>
      </c>
    </row>
    <row r="378" spans="1:14">
      <c r="A378" s="25" t="s">
        <v>320</v>
      </c>
      <c r="B378" s="25" t="s">
        <v>40</v>
      </c>
      <c r="C378" s="2" t="s">
        <v>331</v>
      </c>
      <c r="D378" s="8" t="str">
        <f t="shared" si="42"/>
        <v>PO1509170091</v>
      </c>
      <c r="E378" s="8" t="str">
        <f>"9787310042401"</f>
        <v>9787310042401</v>
      </c>
      <c r="F378" s="21" t="s">
        <v>316</v>
      </c>
      <c r="G378" s="8" t="s">
        <v>307</v>
      </c>
      <c r="H378" s="9" t="s">
        <v>273</v>
      </c>
      <c r="I378" s="8" t="s">
        <v>317</v>
      </c>
      <c r="J378" s="10">
        <v>39</v>
      </c>
      <c r="K378" s="11">
        <v>48</v>
      </c>
      <c r="L378" s="74">
        <f t="shared" si="40"/>
        <v>1872</v>
      </c>
      <c r="M378" s="74">
        <f t="shared" si="41"/>
        <v>1497.6000000000001</v>
      </c>
      <c r="N378" s="12">
        <v>80</v>
      </c>
    </row>
    <row r="379" spans="1:14">
      <c r="A379" s="25" t="s">
        <v>320</v>
      </c>
      <c r="B379" s="25" t="s">
        <v>40</v>
      </c>
      <c r="C379" s="2" t="s">
        <v>331</v>
      </c>
      <c r="D379" s="8" t="s">
        <v>375</v>
      </c>
      <c r="E379" s="8" t="s">
        <v>375</v>
      </c>
      <c r="F379" s="31" t="s">
        <v>383</v>
      </c>
      <c r="G379" s="8" t="s">
        <v>389</v>
      </c>
      <c r="H379" s="8" t="s">
        <v>376</v>
      </c>
      <c r="I379" s="8" t="s">
        <v>376</v>
      </c>
      <c r="J379" s="32">
        <v>16</v>
      </c>
      <c r="K379" s="11">
        <v>48</v>
      </c>
      <c r="L379" s="74">
        <f t="shared" si="40"/>
        <v>768</v>
      </c>
      <c r="M379" s="74">
        <f t="shared" ref="M379:M385" si="43">L379*1</f>
        <v>768</v>
      </c>
      <c r="N379" s="12">
        <v>100</v>
      </c>
    </row>
    <row r="380" spans="1:14">
      <c r="A380" s="25" t="s">
        <v>320</v>
      </c>
      <c r="B380" s="25" t="s">
        <v>40</v>
      </c>
      <c r="C380" s="2" t="s">
        <v>331</v>
      </c>
      <c r="D380" s="8" t="s">
        <v>375</v>
      </c>
      <c r="E380" s="8" t="s">
        <v>375</v>
      </c>
      <c r="F380" s="31" t="s">
        <v>384</v>
      </c>
      <c r="G380" s="8" t="s">
        <v>390</v>
      </c>
      <c r="H380" s="8" t="s">
        <v>376</v>
      </c>
      <c r="I380" s="8" t="s">
        <v>376</v>
      </c>
      <c r="J380" s="32">
        <v>18</v>
      </c>
      <c r="K380" s="11">
        <v>48</v>
      </c>
      <c r="L380" s="74">
        <f t="shared" si="40"/>
        <v>864</v>
      </c>
      <c r="M380" s="74">
        <f t="shared" si="43"/>
        <v>864</v>
      </c>
      <c r="N380" s="12">
        <v>100</v>
      </c>
    </row>
    <row r="381" spans="1:14">
      <c r="A381" s="25" t="s">
        <v>320</v>
      </c>
      <c r="B381" s="25" t="s">
        <v>40</v>
      </c>
      <c r="C381" s="2" t="s">
        <v>331</v>
      </c>
      <c r="D381" s="8" t="s">
        <v>375</v>
      </c>
      <c r="E381" s="8" t="s">
        <v>375</v>
      </c>
      <c r="F381" s="33" t="s">
        <v>385</v>
      </c>
      <c r="G381" s="8" t="s">
        <v>376</v>
      </c>
      <c r="H381" s="8" t="s">
        <v>376</v>
      </c>
      <c r="I381" s="8" t="s">
        <v>376</v>
      </c>
      <c r="J381" s="34">
        <v>14.6</v>
      </c>
      <c r="K381" s="11">
        <v>48</v>
      </c>
      <c r="L381" s="74">
        <f t="shared" si="40"/>
        <v>700.8</v>
      </c>
      <c r="M381" s="74">
        <f t="shared" si="43"/>
        <v>700.8</v>
      </c>
      <c r="N381" s="12">
        <v>100</v>
      </c>
    </row>
    <row r="382" spans="1:14">
      <c r="A382" s="25" t="s">
        <v>320</v>
      </c>
      <c r="B382" s="25" t="s">
        <v>40</v>
      </c>
      <c r="C382" s="2" t="s">
        <v>331</v>
      </c>
      <c r="D382" s="8" t="s">
        <v>375</v>
      </c>
      <c r="E382" s="8" t="s">
        <v>375</v>
      </c>
      <c r="F382" s="33" t="s">
        <v>386</v>
      </c>
      <c r="G382" s="8" t="s">
        <v>376</v>
      </c>
      <c r="H382" s="8" t="s">
        <v>376</v>
      </c>
      <c r="I382" s="8" t="s">
        <v>376</v>
      </c>
      <c r="J382" s="34">
        <v>5</v>
      </c>
      <c r="K382" s="11">
        <v>48</v>
      </c>
      <c r="L382" s="74">
        <f t="shared" si="40"/>
        <v>240</v>
      </c>
      <c r="M382" s="74">
        <f t="shared" si="43"/>
        <v>240</v>
      </c>
      <c r="N382" s="12">
        <v>100</v>
      </c>
    </row>
    <row r="383" spans="1:14">
      <c r="A383" s="25" t="s">
        <v>320</v>
      </c>
      <c r="B383" s="25" t="s">
        <v>40</v>
      </c>
      <c r="C383" s="2" t="s">
        <v>331</v>
      </c>
      <c r="D383" s="8" t="s">
        <v>375</v>
      </c>
      <c r="E383" s="8" t="s">
        <v>375</v>
      </c>
      <c r="F383" s="35" t="s">
        <v>387</v>
      </c>
      <c r="G383" s="8" t="s">
        <v>376</v>
      </c>
      <c r="H383" s="8" t="s">
        <v>376</v>
      </c>
      <c r="I383" s="8" t="s">
        <v>376</v>
      </c>
      <c r="J383" s="36">
        <v>6.5</v>
      </c>
      <c r="K383" s="11">
        <v>48</v>
      </c>
      <c r="L383" s="74">
        <f t="shared" si="40"/>
        <v>312</v>
      </c>
      <c r="M383" s="74">
        <f t="shared" si="43"/>
        <v>312</v>
      </c>
      <c r="N383" s="12">
        <v>100</v>
      </c>
    </row>
    <row r="384" spans="1:14">
      <c r="A384" s="25" t="s">
        <v>320</v>
      </c>
      <c r="B384" s="25" t="s">
        <v>40</v>
      </c>
      <c r="C384" s="2" t="s">
        <v>331</v>
      </c>
      <c r="D384" s="8" t="s">
        <v>375</v>
      </c>
      <c r="E384" s="8" t="s">
        <v>375</v>
      </c>
      <c r="F384" s="35" t="s">
        <v>388</v>
      </c>
      <c r="G384" s="8" t="s">
        <v>376</v>
      </c>
      <c r="H384" s="8" t="s">
        <v>376</v>
      </c>
      <c r="I384" s="8" t="s">
        <v>376</v>
      </c>
      <c r="J384" s="36">
        <v>2.2999999999999998</v>
      </c>
      <c r="K384" s="11">
        <v>48</v>
      </c>
      <c r="L384" s="74">
        <f t="shared" si="40"/>
        <v>110.39999999999999</v>
      </c>
      <c r="M384" s="74">
        <f t="shared" si="43"/>
        <v>110.39999999999999</v>
      </c>
      <c r="N384" s="12">
        <v>100</v>
      </c>
    </row>
    <row r="385" spans="1:14">
      <c r="A385" s="25" t="s">
        <v>320</v>
      </c>
      <c r="B385" s="25" t="s">
        <v>40</v>
      </c>
      <c r="C385" s="2" t="s">
        <v>331</v>
      </c>
      <c r="D385" s="8" t="s">
        <v>375</v>
      </c>
      <c r="E385" s="8" t="s">
        <v>375</v>
      </c>
      <c r="F385" s="35" t="s">
        <v>391</v>
      </c>
      <c r="G385" s="8" t="s">
        <v>376</v>
      </c>
      <c r="H385" s="8" t="s">
        <v>376</v>
      </c>
      <c r="I385" s="8" t="s">
        <v>376</v>
      </c>
      <c r="J385" s="10">
        <v>8.8000000000000007</v>
      </c>
      <c r="K385" s="11">
        <v>48</v>
      </c>
      <c r="L385" s="74">
        <f t="shared" si="40"/>
        <v>422.40000000000003</v>
      </c>
      <c r="M385" s="74">
        <f t="shared" si="43"/>
        <v>422.40000000000003</v>
      </c>
      <c r="N385" s="12">
        <v>100</v>
      </c>
    </row>
    <row r="386" spans="1:14">
      <c r="A386" s="152" t="s">
        <v>442</v>
      </c>
      <c r="B386" s="153"/>
      <c r="C386" s="153"/>
      <c r="D386" s="153"/>
      <c r="E386" s="153"/>
      <c r="F386" s="153"/>
      <c r="G386" s="153"/>
      <c r="H386" s="153"/>
      <c r="I386" s="153"/>
      <c r="J386" s="154"/>
      <c r="K386" s="11">
        <f>SUM(K370:K385)</f>
        <v>768</v>
      </c>
      <c r="L386" s="74">
        <f t="shared" ref="L386:M386" si="44">SUM(L370:L385)</f>
        <v>17649.600000000002</v>
      </c>
      <c r="M386" s="74">
        <f t="shared" si="44"/>
        <v>14803.199999999999</v>
      </c>
      <c r="N386" s="12"/>
    </row>
    <row r="387" spans="1:14">
      <c r="A387" s="64"/>
      <c r="B387" s="64"/>
      <c r="C387" s="96"/>
      <c r="D387" s="67"/>
      <c r="E387" s="67"/>
      <c r="F387" s="121"/>
      <c r="G387" s="67"/>
      <c r="H387" s="67"/>
      <c r="I387" s="67"/>
      <c r="J387" s="70"/>
      <c r="K387" s="71"/>
      <c r="L387" s="75"/>
      <c r="M387" s="75"/>
      <c r="N387" s="72"/>
    </row>
    <row r="388" spans="1:14" ht="14.25">
      <c r="A388" s="88" t="s">
        <v>444</v>
      </c>
      <c r="B388" s="64"/>
      <c r="C388" s="96"/>
      <c r="D388" s="67"/>
      <c r="E388" s="67"/>
      <c r="F388" s="121"/>
      <c r="G388" s="67"/>
      <c r="H388" s="67"/>
      <c r="I388" s="67"/>
      <c r="J388" s="70"/>
      <c r="K388" s="71"/>
      <c r="L388" s="75"/>
      <c r="M388" s="75"/>
      <c r="N388" s="72"/>
    </row>
    <row r="389" spans="1:14" ht="14.25">
      <c r="A389" s="88" t="s">
        <v>443</v>
      </c>
      <c r="B389" s="64"/>
      <c r="C389" s="96"/>
      <c r="D389" s="67"/>
      <c r="E389" s="67"/>
      <c r="F389" s="121"/>
      <c r="G389" s="67"/>
      <c r="H389" s="67"/>
      <c r="I389" s="67"/>
      <c r="J389" s="70"/>
      <c r="K389" s="71"/>
      <c r="L389" s="75"/>
      <c r="M389" s="75"/>
      <c r="N389" s="72"/>
    </row>
    <row r="390" spans="1:14">
      <c r="A390" s="64"/>
      <c r="B390" s="64"/>
      <c r="C390" s="96"/>
      <c r="D390" s="67"/>
      <c r="E390" s="67"/>
      <c r="F390" s="121"/>
      <c r="G390" s="67"/>
      <c r="H390" s="67"/>
      <c r="I390" s="67"/>
      <c r="J390" s="70"/>
      <c r="K390" s="71"/>
      <c r="L390" s="75"/>
      <c r="M390" s="75"/>
      <c r="N390" s="72"/>
    </row>
    <row r="391" spans="1:14">
      <c r="A391" s="64"/>
      <c r="B391" s="64"/>
      <c r="C391" s="96"/>
      <c r="D391" s="67"/>
      <c r="E391" s="67"/>
      <c r="F391" s="121"/>
      <c r="G391" s="67"/>
      <c r="H391" s="67"/>
      <c r="I391" s="67"/>
      <c r="J391" s="70"/>
      <c r="K391" s="71"/>
      <c r="L391" s="75"/>
      <c r="M391" s="75"/>
      <c r="N391" s="72"/>
    </row>
    <row r="392" spans="1:14">
      <c r="A392" s="64"/>
      <c r="B392" s="64"/>
      <c r="C392" s="96"/>
      <c r="D392" s="67"/>
      <c r="E392" s="67"/>
      <c r="F392" s="121"/>
      <c r="G392" s="67"/>
      <c r="H392" s="67"/>
      <c r="I392" s="67"/>
      <c r="J392" s="70"/>
      <c r="K392" s="71"/>
      <c r="L392" s="75"/>
      <c r="M392" s="75"/>
      <c r="N392" s="72"/>
    </row>
    <row r="393" spans="1:14">
      <c r="A393" s="64"/>
      <c r="B393" s="64"/>
      <c r="C393" s="96"/>
      <c r="D393" s="67"/>
      <c r="E393" s="67"/>
      <c r="F393" s="121"/>
      <c r="G393" s="67"/>
      <c r="H393" s="67"/>
      <c r="I393" s="67"/>
      <c r="J393" s="70"/>
      <c r="K393" s="71"/>
      <c r="L393" s="75"/>
      <c r="M393" s="75"/>
      <c r="N393" s="72"/>
    </row>
    <row r="394" spans="1:14">
      <c r="A394" s="25" t="s">
        <v>76</v>
      </c>
      <c r="B394" s="7" t="s">
        <v>1</v>
      </c>
      <c r="C394" s="7" t="s">
        <v>284</v>
      </c>
      <c r="D394" s="27" t="s">
        <v>0</v>
      </c>
      <c r="E394" s="27" t="s">
        <v>3</v>
      </c>
      <c r="F394" s="27" t="s">
        <v>4</v>
      </c>
      <c r="G394" s="28" t="s">
        <v>5</v>
      </c>
      <c r="H394" s="27" t="s">
        <v>6</v>
      </c>
      <c r="I394" s="27" t="s">
        <v>7</v>
      </c>
      <c r="J394" s="27" t="s">
        <v>8</v>
      </c>
      <c r="K394" s="27" t="s">
        <v>393</v>
      </c>
      <c r="L394" s="73" t="s">
        <v>394</v>
      </c>
      <c r="M394" s="73" t="s">
        <v>395</v>
      </c>
      <c r="N394" s="29" t="s">
        <v>9</v>
      </c>
    </row>
    <row r="395" spans="1:14">
      <c r="A395" s="4" t="s">
        <v>288</v>
      </c>
      <c r="B395" s="20" t="s">
        <v>41</v>
      </c>
      <c r="C395" s="5" t="s">
        <v>59</v>
      </c>
      <c r="D395" s="22" t="str">
        <f>"PO1509090009"</f>
        <v>PO1509090009</v>
      </c>
      <c r="E395" s="22" t="str">
        <f>"9787561546611.001"</f>
        <v>9787561546611.001</v>
      </c>
      <c r="F395" s="23" t="s">
        <v>294</v>
      </c>
      <c r="G395" s="8" t="s">
        <v>164</v>
      </c>
      <c r="H395" s="9" t="s">
        <v>98</v>
      </c>
      <c r="I395" s="8" t="s">
        <v>295</v>
      </c>
      <c r="J395" s="10">
        <v>32</v>
      </c>
      <c r="K395" s="11">
        <v>37</v>
      </c>
      <c r="L395" s="74">
        <f t="shared" ref="L395:L409" si="45">J395*K395</f>
        <v>1184</v>
      </c>
      <c r="M395" s="74">
        <f t="shared" ref="M395:M403" si="46">L395*0.8</f>
        <v>947.2</v>
      </c>
      <c r="N395" s="12">
        <v>80</v>
      </c>
    </row>
    <row r="396" spans="1:14">
      <c r="A396" s="25" t="s">
        <v>74</v>
      </c>
      <c r="B396" s="25" t="s">
        <v>41</v>
      </c>
      <c r="C396" s="2" t="s">
        <v>333</v>
      </c>
      <c r="D396" s="8" t="str">
        <f t="shared" ref="D396:D402" si="47">"PO1509170092"</f>
        <v>PO1509170092</v>
      </c>
      <c r="E396" s="8" t="str">
        <f>"9787506818933"</f>
        <v>9787506818933</v>
      </c>
      <c r="F396" s="21" t="s">
        <v>302</v>
      </c>
      <c r="G396" s="8" t="s">
        <v>303</v>
      </c>
      <c r="H396" s="9" t="s">
        <v>304</v>
      </c>
      <c r="I396" s="8" t="s">
        <v>305</v>
      </c>
      <c r="J396" s="10">
        <v>26.8</v>
      </c>
      <c r="K396" s="11">
        <v>37</v>
      </c>
      <c r="L396" s="74">
        <f t="shared" si="45"/>
        <v>991.6</v>
      </c>
      <c r="M396" s="74">
        <f t="shared" si="46"/>
        <v>793.28000000000009</v>
      </c>
      <c r="N396" s="12">
        <v>80</v>
      </c>
    </row>
    <row r="397" spans="1:14">
      <c r="A397" s="25" t="s">
        <v>320</v>
      </c>
      <c r="B397" s="25" t="s">
        <v>41</v>
      </c>
      <c r="C397" s="2" t="s">
        <v>332</v>
      </c>
      <c r="D397" s="8" t="str">
        <f t="shared" si="47"/>
        <v>PO1509170092</v>
      </c>
      <c r="E397" s="8" t="str">
        <f>"9787310042838"</f>
        <v>9787310042838</v>
      </c>
      <c r="F397" s="21" t="s">
        <v>306</v>
      </c>
      <c r="G397" s="8" t="s">
        <v>307</v>
      </c>
      <c r="H397" s="9" t="s">
        <v>308</v>
      </c>
      <c r="I397" s="8" t="s">
        <v>309</v>
      </c>
      <c r="J397" s="10">
        <v>28</v>
      </c>
      <c r="K397" s="11">
        <v>37</v>
      </c>
      <c r="L397" s="74">
        <f t="shared" si="45"/>
        <v>1036</v>
      </c>
      <c r="M397" s="74">
        <f t="shared" si="46"/>
        <v>828.80000000000007</v>
      </c>
      <c r="N397" s="12">
        <v>80</v>
      </c>
    </row>
    <row r="398" spans="1:14">
      <c r="A398" s="25" t="s">
        <v>74</v>
      </c>
      <c r="B398" s="25" t="s">
        <v>41</v>
      </c>
      <c r="C398" s="2" t="s">
        <v>332</v>
      </c>
      <c r="D398" s="8" t="str">
        <f t="shared" si="47"/>
        <v>PO1509170092</v>
      </c>
      <c r="E398" s="8" t="str">
        <f>"9787564804596"</f>
        <v>9787564804596</v>
      </c>
      <c r="F398" s="21" t="s">
        <v>283</v>
      </c>
      <c r="G398" s="8" t="s">
        <v>87</v>
      </c>
      <c r="H398" s="9" t="s">
        <v>142</v>
      </c>
      <c r="I398" s="8" t="s">
        <v>282</v>
      </c>
      <c r="J398" s="10">
        <v>32</v>
      </c>
      <c r="K398" s="11">
        <v>37</v>
      </c>
      <c r="L398" s="74">
        <f t="shared" si="45"/>
        <v>1184</v>
      </c>
      <c r="M398" s="74">
        <f t="shared" si="46"/>
        <v>947.2</v>
      </c>
      <c r="N398" s="12">
        <v>80</v>
      </c>
    </row>
    <row r="399" spans="1:14">
      <c r="A399" s="25" t="s">
        <v>320</v>
      </c>
      <c r="B399" s="25" t="s">
        <v>41</v>
      </c>
      <c r="C399" s="2" t="s">
        <v>332</v>
      </c>
      <c r="D399" s="8" t="str">
        <f t="shared" si="47"/>
        <v>PO1509170092</v>
      </c>
      <c r="E399" s="8" t="str">
        <f>"9787313080844"</f>
        <v>9787313080844</v>
      </c>
      <c r="F399" s="21" t="s">
        <v>310</v>
      </c>
      <c r="G399" s="8" t="s">
        <v>311</v>
      </c>
      <c r="H399" s="9" t="s">
        <v>241</v>
      </c>
      <c r="I399" s="8" t="s">
        <v>312</v>
      </c>
      <c r="J399" s="10">
        <v>32</v>
      </c>
      <c r="K399" s="11">
        <v>37</v>
      </c>
      <c r="L399" s="74">
        <f t="shared" si="45"/>
        <v>1184</v>
      </c>
      <c r="M399" s="74">
        <f t="shared" si="46"/>
        <v>947.2</v>
      </c>
      <c r="N399" s="12">
        <v>80</v>
      </c>
    </row>
    <row r="400" spans="1:14">
      <c r="A400" s="25" t="s">
        <v>320</v>
      </c>
      <c r="B400" s="25" t="s">
        <v>41</v>
      </c>
      <c r="C400" s="2" t="s">
        <v>332</v>
      </c>
      <c r="D400" s="8" t="str">
        <f t="shared" si="47"/>
        <v>PO1509170092</v>
      </c>
      <c r="E400" s="8" t="str">
        <f>"9787302278207"</f>
        <v>9787302278207</v>
      </c>
      <c r="F400" s="21" t="s">
        <v>276</v>
      </c>
      <c r="G400" s="8" t="s">
        <v>198</v>
      </c>
      <c r="H400" s="9" t="s">
        <v>231</v>
      </c>
      <c r="I400" s="8" t="s">
        <v>275</v>
      </c>
      <c r="J400" s="10">
        <v>35</v>
      </c>
      <c r="K400" s="11">
        <v>37</v>
      </c>
      <c r="L400" s="74">
        <f t="shared" si="45"/>
        <v>1295</v>
      </c>
      <c r="M400" s="74">
        <f t="shared" si="46"/>
        <v>1036</v>
      </c>
      <c r="N400" s="12">
        <v>80</v>
      </c>
    </row>
    <row r="401" spans="1:14">
      <c r="A401" s="25" t="s">
        <v>296</v>
      </c>
      <c r="B401" s="25" t="s">
        <v>41</v>
      </c>
      <c r="C401" s="2" t="s">
        <v>332</v>
      </c>
      <c r="D401" s="8" t="str">
        <f t="shared" si="47"/>
        <v>PO1509170092</v>
      </c>
      <c r="E401" s="8" t="str">
        <f>"9787040406801"</f>
        <v>9787040406801</v>
      </c>
      <c r="F401" s="21" t="s">
        <v>313</v>
      </c>
      <c r="G401" s="8" t="s">
        <v>214</v>
      </c>
      <c r="H401" s="9" t="s">
        <v>136</v>
      </c>
      <c r="I401" s="8" t="s">
        <v>314</v>
      </c>
      <c r="J401" s="10">
        <v>35</v>
      </c>
      <c r="K401" s="11">
        <v>37</v>
      </c>
      <c r="L401" s="74">
        <f t="shared" si="45"/>
        <v>1295</v>
      </c>
      <c r="M401" s="74">
        <f t="shared" si="46"/>
        <v>1036</v>
      </c>
      <c r="N401" s="12">
        <v>80</v>
      </c>
    </row>
    <row r="402" spans="1:14">
      <c r="A402" s="25" t="s">
        <v>320</v>
      </c>
      <c r="B402" s="25" t="s">
        <v>41</v>
      </c>
      <c r="C402" s="2" t="s">
        <v>333</v>
      </c>
      <c r="D402" s="8" t="str">
        <f t="shared" si="47"/>
        <v>PO1509170092</v>
      </c>
      <c r="E402" s="8" t="str">
        <f>"9787310042401"</f>
        <v>9787310042401</v>
      </c>
      <c r="F402" s="21" t="s">
        <v>316</v>
      </c>
      <c r="G402" s="8" t="s">
        <v>307</v>
      </c>
      <c r="H402" s="9" t="s">
        <v>273</v>
      </c>
      <c r="I402" s="8" t="s">
        <v>317</v>
      </c>
      <c r="J402" s="10">
        <v>39</v>
      </c>
      <c r="K402" s="11">
        <v>37</v>
      </c>
      <c r="L402" s="74">
        <f t="shared" si="45"/>
        <v>1443</v>
      </c>
      <c r="M402" s="74">
        <f t="shared" si="46"/>
        <v>1154.4000000000001</v>
      </c>
      <c r="N402" s="12">
        <v>80</v>
      </c>
    </row>
    <row r="403" spans="1:14">
      <c r="A403" s="25" t="s">
        <v>74</v>
      </c>
      <c r="B403" s="25" t="s">
        <v>343</v>
      </c>
      <c r="C403" s="24" t="s">
        <v>332</v>
      </c>
      <c r="D403" s="8" t="str">
        <f>"PO1510220015"</f>
        <v>PO1510220015</v>
      </c>
      <c r="E403" s="8" t="str">
        <f>"9787040332575"</f>
        <v>9787040332575</v>
      </c>
      <c r="F403" s="21" t="s">
        <v>300</v>
      </c>
      <c r="G403" s="8" t="s">
        <v>214</v>
      </c>
      <c r="H403" s="9" t="s">
        <v>145</v>
      </c>
      <c r="I403" s="8" t="s">
        <v>301</v>
      </c>
      <c r="J403" s="10">
        <v>26</v>
      </c>
      <c r="K403" s="11">
        <v>37</v>
      </c>
      <c r="L403" s="74">
        <f t="shared" si="45"/>
        <v>962</v>
      </c>
      <c r="M403" s="74">
        <f t="shared" si="46"/>
        <v>769.6</v>
      </c>
      <c r="N403" s="12">
        <v>80</v>
      </c>
    </row>
    <row r="404" spans="1:14">
      <c r="A404" s="25" t="s">
        <v>74</v>
      </c>
      <c r="B404" s="25" t="s">
        <v>344</v>
      </c>
      <c r="C404" s="24" t="s">
        <v>333</v>
      </c>
      <c r="D404" s="8" t="s">
        <v>375</v>
      </c>
      <c r="E404" s="8" t="s">
        <v>375</v>
      </c>
      <c r="F404" s="31" t="s">
        <v>383</v>
      </c>
      <c r="G404" s="8" t="s">
        <v>389</v>
      </c>
      <c r="H404" s="8" t="s">
        <v>376</v>
      </c>
      <c r="I404" s="8" t="s">
        <v>376</v>
      </c>
      <c r="J404" s="32">
        <v>16</v>
      </c>
      <c r="K404" s="11">
        <v>37</v>
      </c>
      <c r="L404" s="74">
        <f t="shared" si="45"/>
        <v>592</v>
      </c>
      <c r="M404" s="74">
        <f t="shared" ref="M404:M409" si="48">L404*1</f>
        <v>592</v>
      </c>
      <c r="N404" s="12">
        <v>100</v>
      </c>
    </row>
    <row r="405" spans="1:14">
      <c r="A405" s="25" t="s">
        <v>320</v>
      </c>
      <c r="B405" s="25" t="s">
        <v>343</v>
      </c>
      <c r="C405" s="24" t="s">
        <v>333</v>
      </c>
      <c r="D405" s="8" t="s">
        <v>375</v>
      </c>
      <c r="E405" s="8" t="s">
        <v>375</v>
      </c>
      <c r="F405" s="31" t="s">
        <v>384</v>
      </c>
      <c r="G405" s="8" t="s">
        <v>390</v>
      </c>
      <c r="H405" s="8" t="s">
        <v>376</v>
      </c>
      <c r="I405" s="8" t="s">
        <v>376</v>
      </c>
      <c r="J405" s="32">
        <v>18</v>
      </c>
      <c r="K405" s="11">
        <v>37</v>
      </c>
      <c r="L405" s="74">
        <f t="shared" si="45"/>
        <v>666</v>
      </c>
      <c r="M405" s="74">
        <f t="shared" si="48"/>
        <v>666</v>
      </c>
      <c r="N405" s="12">
        <v>100</v>
      </c>
    </row>
    <row r="406" spans="1:14">
      <c r="A406" s="25" t="s">
        <v>74</v>
      </c>
      <c r="B406" s="25" t="s">
        <v>343</v>
      </c>
      <c r="C406" s="24" t="s">
        <v>332</v>
      </c>
      <c r="D406" s="8" t="s">
        <v>375</v>
      </c>
      <c r="E406" s="8" t="s">
        <v>375</v>
      </c>
      <c r="F406" s="33" t="s">
        <v>385</v>
      </c>
      <c r="G406" s="8" t="s">
        <v>376</v>
      </c>
      <c r="H406" s="8" t="s">
        <v>376</v>
      </c>
      <c r="I406" s="8" t="s">
        <v>376</v>
      </c>
      <c r="J406" s="34">
        <v>14.6</v>
      </c>
      <c r="K406" s="11">
        <v>37</v>
      </c>
      <c r="L406" s="74">
        <f t="shared" si="45"/>
        <v>540.19999999999993</v>
      </c>
      <c r="M406" s="74">
        <f t="shared" si="48"/>
        <v>540.19999999999993</v>
      </c>
      <c r="N406" s="12">
        <v>100</v>
      </c>
    </row>
    <row r="407" spans="1:14">
      <c r="A407" s="25" t="s">
        <v>74</v>
      </c>
      <c r="B407" s="25" t="s">
        <v>344</v>
      </c>
      <c r="C407" s="24" t="s">
        <v>333</v>
      </c>
      <c r="D407" s="8" t="s">
        <v>375</v>
      </c>
      <c r="E407" s="8" t="s">
        <v>375</v>
      </c>
      <c r="F407" s="33" t="s">
        <v>386</v>
      </c>
      <c r="G407" s="8" t="s">
        <v>376</v>
      </c>
      <c r="H407" s="8" t="s">
        <v>376</v>
      </c>
      <c r="I407" s="8" t="s">
        <v>376</v>
      </c>
      <c r="J407" s="34">
        <v>5</v>
      </c>
      <c r="K407" s="11">
        <v>37</v>
      </c>
      <c r="L407" s="74">
        <f t="shared" si="45"/>
        <v>185</v>
      </c>
      <c r="M407" s="74">
        <f t="shared" si="48"/>
        <v>185</v>
      </c>
      <c r="N407" s="12">
        <v>100</v>
      </c>
    </row>
    <row r="408" spans="1:14">
      <c r="A408" s="25" t="s">
        <v>74</v>
      </c>
      <c r="B408" s="25" t="s">
        <v>343</v>
      </c>
      <c r="C408" s="24" t="s">
        <v>332</v>
      </c>
      <c r="D408" s="8" t="s">
        <v>375</v>
      </c>
      <c r="E408" s="8" t="s">
        <v>375</v>
      </c>
      <c r="F408" s="35" t="s">
        <v>387</v>
      </c>
      <c r="G408" s="8" t="s">
        <v>376</v>
      </c>
      <c r="H408" s="8" t="s">
        <v>376</v>
      </c>
      <c r="I408" s="8" t="s">
        <v>376</v>
      </c>
      <c r="J408" s="36">
        <v>6.5</v>
      </c>
      <c r="K408" s="11">
        <v>37</v>
      </c>
      <c r="L408" s="74">
        <f t="shared" si="45"/>
        <v>240.5</v>
      </c>
      <c r="M408" s="74">
        <f t="shared" si="48"/>
        <v>240.5</v>
      </c>
      <c r="N408" s="12">
        <v>100</v>
      </c>
    </row>
    <row r="409" spans="1:14">
      <c r="A409" s="25" t="s">
        <v>296</v>
      </c>
      <c r="B409" s="25" t="s">
        <v>344</v>
      </c>
      <c r="C409" s="2" t="s">
        <v>371</v>
      </c>
      <c r="D409" s="8" t="s">
        <v>375</v>
      </c>
      <c r="E409" s="8" t="s">
        <v>375</v>
      </c>
      <c r="F409" s="35" t="s">
        <v>388</v>
      </c>
      <c r="G409" s="8" t="s">
        <v>376</v>
      </c>
      <c r="H409" s="8" t="s">
        <v>376</v>
      </c>
      <c r="I409" s="8" t="s">
        <v>376</v>
      </c>
      <c r="J409" s="36">
        <v>2.2999999999999998</v>
      </c>
      <c r="K409" s="11">
        <v>37</v>
      </c>
      <c r="L409" s="74">
        <f t="shared" si="45"/>
        <v>85.1</v>
      </c>
      <c r="M409" s="74">
        <f t="shared" si="48"/>
        <v>85.1</v>
      </c>
      <c r="N409" s="12">
        <v>100</v>
      </c>
    </row>
    <row r="410" spans="1:14">
      <c r="A410" s="152" t="s">
        <v>442</v>
      </c>
      <c r="B410" s="153"/>
      <c r="C410" s="153"/>
      <c r="D410" s="153"/>
      <c r="E410" s="153"/>
      <c r="F410" s="153"/>
      <c r="G410" s="153"/>
      <c r="H410" s="153"/>
      <c r="I410" s="153"/>
      <c r="J410" s="154"/>
      <c r="K410" s="11">
        <f>SUM(K395:K409)</f>
        <v>555</v>
      </c>
      <c r="L410" s="74">
        <f t="shared" ref="L410:M410" si="49">SUM(L395:L409)</f>
        <v>12883.400000000001</v>
      </c>
      <c r="M410" s="74">
        <f t="shared" si="49"/>
        <v>10768.480000000001</v>
      </c>
      <c r="N410" s="12"/>
    </row>
    <row r="411" spans="1:14">
      <c r="A411" s="64"/>
      <c r="B411" s="64"/>
      <c r="C411" s="96"/>
      <c r="D411" s="67"/>
      <c r="E411" s="67"/>
      <c r="F411" s="121"/>
      <c r="G411" s="67"/>
      <c r="H411" s="67"/>
      <c r="I411" s="67"/>
      <c r="J411" s="122"/>
      <c r="K411" s="71"/>
      <c r="L411" s="75"/>
      <c r="M411" s="75"/>
      <c r="N411" s="72"/>
    </row>
    <row r="412" spans="1:14" ht="14.25">
      <c r="A412" s="88" t="s">
        <v>444</v>
      </c>
      <c r="B412" s="64"/>
      <c r="C412" s="96"/>
      <c r="D412" s="67"/>
      <c r="E412" s="67"/>
      <c r="F412" s="121"/>
      <c r="G412" s="67"/>
      <c r="H412" s="67"/>
      <c r="I412" s="67"/>
      <c r="J412" s="122"/>
      <c r="K412" s="71"/>
      <c r="L412" s="75"/>
      <c r="M412" s="75"/>
      <c r="N412" s="72"/>
    </row>
    <row r="413" spans="1:14" ht="14.25">
      <c r="A413" s="88" t="s">
        <v>443</v>
      </c>
      <c r="B413" s="64"/>
      <c r="C413" s="96"/>
      <c r="D413" s="67"/>
      <c r="E413" s="67"/>
      <c r="F413" s="121"/>
      <c r="G413" s="67"/>
      <c r="H413" s="67"/>
      <c r="I413" s="67"/>
      <c r="J413" s="122"/>
      <c r="K413" s="71"/>
      <c r="L413" s="75"/>
      <c r="M413" s="75"/>
      <c r="N413" s="72"/>
    </row>
    <row r="414" spans="1:14">
      <c r="A414" s="64"/>
      <c r="B414" s="64"/>
      <c r="C414" s="96"/>
      <c r="D414" s="67"/>
      <c r="E414" s="67"/>
      <c r="F414" s="121"/>
      <c r="G414" s="67"/>
      <c r="H414" s="67"/>
      <c r="I414" s="67"/>
      <c r="J414" s="122"/>
      <c r="K414" s="71"/>
      <c r="L414" s="75"/>
      <c r="M414" s="75"/>
      <c r="N414" s="72"/>
    </row>
    <row r="415" spans="1:14">
      <c r="A415" s="64"/>
      <c r="B415" s="64"/>
      <c r="C415" s="96"/>
      <c r="D415" s="67"/>
      <c r="E415" s="67"/>
      <c r="F415" s="121"/>
      <c r="G415" s="67"/>
      <c r="H415" s="67"/>
      <c r="I415" s="67"/>
      <c r="J415" s="122"/>
      <c r="K415" s="71"/>
      <c r="L415" s="75"/>
      <c r="M415" s="75"/>
      <c r="N415" s="72"/>
    </row>
    <row r="416" spans="1:14">
      <c r="A416" s="64"/>
      <c r="B416" s="64"/>
      <c r="C416" s="96"/>
      <c r="D416" s="67"/>
      <c r="E416" s="67"/>
      <c r="F416" s="121"/>
      <c r="G416" s="67"/>
      <c r="H416" s="67"/>
      <c r="I416" s="67"/>
      <c r="J416" s="122"/>
      <c r="K416" s="71"/>
      <c r="L416" s="75"/>
      <c r="M416" s="75"/>
      <c r="N416" s="72"/>
    </row>
    <row r="417" spans="1:14">
      <c r="A417" s="64"/>
      <c r="B417" s="64"/>
      <c r="C417" s="96"/>
      <c r="D417" s="67"/>
      <c r="E417" s="67"/>
      <c r="F417" s="121"/>
      <c r="G417" s="67"/>
      <c r="H417" s="67"/>
      <c r="I417" s="67"/>
      <c r="J417" s="122"/>
      <c r="K417" s="71"/>
      <c r="L417" s="75"/>
      <c r="M417" s="75"/>
      <c r="N417" s="72"/>
    </row>
    <row r="418" spans="1:14">
      <c r="A418" s="25" t="s">
        <v>76</v>
      </c>
      <c r="B418" s="7" t="s">
        <v>1</v>
      </c>
      <c r="C418" s="7" t="s">
        <v>284</v>
      </c>
      <c r="D418" s="27" t="s">
        <v>0</v>
      </c>
      <c r="E418" s="27" t="s">
        <v>3</v>
      </c>
      <c r="F418" s="27" t="s">
        <v>4</v>
      </c>
      <c r="G418" s="28" t="s">
        <v>5</v>
      </c>
      <c r="H418" s="27" t="s">
        <v>6</v>
      </c>
      <c r="I418" s="27" t="s">
        <v>7</v>
      </c>
      <c r="J418" s="27" t="s">
        <v>8</v>
      </c>
      <c r="K418" s="27" t="s">
        <v>393</v>
      </c>
      <c r="L418" s="73" t="s">
        <v>394</v>
      </c>
      <c r="M418" s="73" t="s">
        <v>395</v>
      </c>
      <c r="N418" s="29" t="s">
        <v>9</v>
      </c>
    </row>
    <row r="419" spans="1:14">
      <c r="A419" s="4" t="s">
        <v>288</v>
      </c>
      <c r="B419" s="20" t="s">
        <v>42</v>
      </c>
      <c r="C419" s="5" t="s">
        <v>60</v>
      </c>
      <c r="D419" s="22" t="str">
        <f>"PO1509090009"</f>
        <v>PO1509090009</v>
      </c>
      <c r="E419" s="22" t="str">
        <f>"9787561546611.001"</f>
        <v>9787561546611.001</v>
      </c>
      <c r="F419" s="23" t="s">
        <v>294</v>
      </c>
      <c r="G419" s="8" t="s">
        <v>164</v>
      </c>
      <c r="H419" s="9" t="s">
        <v>98</v>
      </c>
      <c r="I419" s="8" t="s">
        <v>295</v>
      </c>
      <c r="J419" s="10">
        <v>32</v>
      </c>
      <c r="K419" s="11">
        <v>49</v>
      </c>
      <c r="L419" s="74">
        <f t="shared" ref="L419:L433" si="50">J419*K419</f>
        <v>1568</v>
      </c>
      <c r="M419" s="74">
        <f t="shared" ref="M419:M427" si="51">L419*0.8</f>
        <v>1254.4000000000001</v>
      </c>
      <c r="N419" s="12">
        <v>80</v>
      </c>
    </row>
    <row r="420" spans="1:14">
      <c r="A420" s="25" t="s">
        <v>320</v>
      </c>
      <c r="B420" s="25" t="s">
        <v>42</v>
      </c>
      <c r="C420" s="2" t="s">
        <v>335</v>
      </c>
      <c r="D420" s="8" t="str">
        <f t="shared" ref="D420:D426" si="52">"PO1509170093"</f>
        <v>PO1509170093</v>
      </c>
      <c r="E420" s="8" t="str">
        <f>"9787506818933"</f>
        <v>9787506818933</v>
      </c>
      <c r="F420" s="21" t="s">
        <v>302</v>
      </c>
      <c r="G420" s="8" t="s">
        <v>303</v>
      </c>
      <c r="H420" s="9" t="s">
        <v>304</v>
      </c>
      <c r="I420" s="8" t="s">
        <v>305</v>
      </c>
      <c r="J420" s="10">
        <v>26.8</v>
      </c>
      <c r="K420" s="11">
        <v>49</v>
      </c>
      <c r="L420" s="74">
        <f t="shared" si="50"/>
        <v>1313.2</v>
      </c>
      <c r="M420" s="74">
        <f t="shared" si="51"/>
        <v>1050.5600000000002</v>
      </c>
      <c r="N420" s="12">
        <v>80</v>
      </c>
    </row>
    <row r="421" spans="1:14">
      <c r="A421" s="25" t="s">
        <v>74</v>
      </c>
      <c r="B421" s="25" t="s">
        <v>42</v>
      </c>
      <c r="C421" s="2" t="s">
        <v>336</v>
      </c>
      <c r="D421" s="8" t="str">
        <f t="shared" si="52"/>
        <v>PO1509170093</v>
      </c>
      <c r="E421" s="8" t="str">
        <f>"9787310042838"</f>
        <v>9787310042838</v>
      </c>
      <c r="F421" s="21" t="s">
        <v>306</v>
      </c>
      <c r="G421" s="8" t="s">
        <v>307</v>
      </c>
      <c r="H421" s="9" t="s">
        <v>308</v>
      </c>
      <c r="I421" s="8" t="s">
        <v>309</v>
      </c>
      <c r="J421" s="10">
        <v>28</v>
      </c>
      <c r="K421" s="11">
        <v>49</v>
      </c>
      <c r="L421" s="74">
        <f t="shared" si="50"/>
        <v>1372</v>
      </c>
      <c r="M421" s="74">
        <f t="shared" si="51"/>
        <v>1097.6000000000001</v>
      </c>
      <c r="N421" s="12">
        <v>80</v>
      </c>
    </row>
    <row r="422" spans="1:14">
      <c r="A422" s="25" t="s">
        <v>320</v>
      </c>
      <c r="B422" s="25" t="s">
        <v>42</v>
      </c>
      <c r="C422" s="2" t="s">
        <v>335</v>
      </c>
      <c r="D422" s="8" t="str">
        <f t="shared" si="52"/>
        <v>PO1509170093</v>
      </c>
      <c r="E422" s="8" t="str">
        <f>"9787564804596"</f>
        <v>9787564804596</v>
      </c>
      <c r="F422" s="21" t="s">
        <v>283</v>
      </c>
      <c r="G422" s="8" t="s">
        <v>87</v>
      </c>
      <c r="H422" s="9" t="s">
        <v>142</v>
      </c>
      <c r="I422" s="8" t="s">
        <v>282</v>
      </c>
      <c r="J422" s="10">
        <v>32</v>
      </c>
      <c r="K422" s="11">
        <v>49</v>
      </c>
      <c r="L422" s="74">
        <f t="shared" si="50"/>
        <v>1568</v>
      </c>
      <c r="M422" s="74">
        <f t="shared" si="51"/>
        <v>1254.4000000000001</v>
      </c>
      <c r="N422" s="12">
        <v>80</v>
      </c>
    </row>
    <row r="423" spans="1:14">
      <c r="A423" s="25" t="s">
        <v>74</v>
      </c>
      <c r="B423" s="25" t="s">
        <v>42</v>
      </c>
      <c r="C423" s="2" t="s">
        <v>336</v>
      </c>
      <c r="D423" s="8" t="str">
        <f t="shared" si="52"/>
        <v>PO1509170093</v>
      </c>
      <c r="E423" s="8" t="str">
        <f>"9787313080844"</f>
        <v>9787313080844</v>
      </c>
      <c r="F423" s="21" t="s">
        <v>310</v>
      </c>
      <c r="G423" s="8" t="s">
        <v>311</v>
      </c>
      <c r="H423" s="9" t="s">
        <v>241</v>
      </c>
      <c r="I423" s="8" t="s">
        <v>312</v>
      </c>
      <c r="J423" s="10">
        <v>32</v>
      </c>
      <c r="K423" s="11">
        <v>49</v>
      </c>
      <c r="L423" s="74">
        <f t="shared" si="50"/>
        <v>1568</v>
      </c>
      <c r="M423" s="74">
        <f t="shared" si="51"/>
        <v>1254.4000000000001</v>
      </c>
      <c r="N423" s="12">
        <v>80</v>
      </c>
    </row>
    <row r="424" spans="1:14">
      <c r="A424" s="25" t="s">
        <v>74</v>
      </c>
      <c r="B424" s="25" t="s">
        <v>42</v>
      </c>
      <c r="C424" s="2" t="s">
        <v>334</v>
      </c>
      <c r="D424" s="8" t="str">
        <f t="shared" si="52"/>
        <v>PO1509170093</v>
      </c>
      <c r="E424" s="8" t="str">
        <f>"9787302278207"</f>
        <v>9787302278207</v>
      </c>
      <c r="F424" s="21" t="s">
        <v>276</v>
      </c>
      <c r="G424" s="8" t="s">
        <v>198</v>
      </c>
      <c r="H424" s="9" t="s">
        <v>231</v>
      </c>
      <c r="I424" s="8" t="s">
        <v>275</v>
      </c>
      <c r="J424" s="10">
        <v>35</v>
      </c>
      <c r="K424" s="11">
        <v>49</v>
      </c>
      <c r="L424" s="74">
        <f t="shared" si="50"/>
        <v>1715</v>
      </c>
      <c r="M424" s="74">
        <f t="shared" si="51"/>
        <v>1372</v>
      </c>
      <c r="N424" s="12">
        <v>80</v>
      </c>
    </row>
    <row r="425" spans="1:14">
      <c r="A425" s="25" t="s">
        <v>74</v>
      </c>
      <c r="B425" s="25" t="s">
        <v>42</v>
      </c>
      <c r="C425" s="2" t="s">
        <v>334</v>
      </c>
      <c r="D425" s="8" t="str">
        <f t="shared" si="52"/>
        <v>PO1509170093</v>
      </c>
      <c r="E425" s="8" t="str">
        <f>"9787040406801"</f>
        <v>9787040406801</v>
      </c>
      <c r="F425" s="21" t="s">
        <v>313</v>
      </c>
      <c r="G425" s="8" t="s">
        <v>214</v>
      </c>
      <c r="H425" s="9" t="s">
        <v>136</v>
      </c>
      <c r="I425" s="8" t="s">
        <v>314</v>
      </c>
      <c r="J425" s="10">
        <v>35</v>
      </c>
      <c r="K425" s="11">
        <v>49</v>
      </c>
      <c r="L425" s="74">
        <f t="shared" si="50"/>
        <v>1715</v>
      </c>
      <c r="M425" s="74">
        <f t="shared" si="51"/>
        <v>1372</v>
      </c>
      <c r="N425" s="12">
        <v>80</v>
      </c>
    </row>
    <row r="426" spans="1:14">
      <c r="A426" s="25" t="s">
        <v>74</v>
      </c>
      <c r="B426" s="25" t="s">
        <v>42</v>
      </c>
      <c r="C426" s="2" t="s">
        <v>334</v>
      </c>
      <c r="D426" s="8" t="str">
        <f t="shared" si="52"/>
        <v>PO1509170093</v>
      </c>
      <c r="E426" s="8" t="str">
        <f>"9787310042401"</f>
        <v>9787310042401</v>
      </c>
      <c r="F426" s="21" t="s">
        <v>316</v>
      </c>
      <c r="G426" s="8" t="s">
        <v>307</v>
      </c>
      <c r="H426" s="9" t="s">
        <v>273</v>
      </c>
      <c r="I426" s="8" t="s">
        <v>317</v>
      </c>
      <c r="J426" s="10">
        <v>39</v>
      </c>
      <c r="K426" s="11">
        <v>49</v>
      </c>
      <c r="L426" s="74">
        <f t="shared" si="50"/>
        <v>1911</v>
      </c>
      <c r="M426" s="74">
        <f t="shared" si="51"/>
        <v>1528.8000000000002</v>
      </c>
      <c r="N426" s="12">
        <v>80</v>
      </c>
    </row>
    <row r="427" spans="1:14">
      <c r="A427" s="25" t="s">
        <v>74</v>
      </c>
      <c r="B427" s="25" t="s">
        <v>42</v>
      </c>
      <c r="C427" s="2" t="s">
        <v>334</v>
      </c>
      <c r="D427" s="8" t="str">
        <f>"PO1510220016"</f>
        <v>PO1510220016</v>
      </c>
      <c r="E427" s="8" t="str">
        <f>"9787040332575"</f>
        <v>9787040332575</v>
      </c>
      <c r="F427" s="21" t="s">
        <v>300</v>
      </c>
      <c r="G427" s="8" t="s">
        <v>214</v>
      </c>
      <c r="H427" s="9" t="s">
        <v>145</v>
      </c>
      <c r="I427" s="8" t="s">
        <v>301</v>
      </c>
      <c r="J427" s="10">
        <v>26</v>
      </c>
      <c r="K427" s="11">
        <v>49</v>
      </c>
      <c r="L427" s="74">
        <f t="shared" si="50"/>
        <v>1274</v>
      </c>
      <c r="M427" s="74">
        <f t="shared" si="51"/>
        <v>1019.2</v>
      </c>
      <c r="N427" s="12">
        <v>80</v>
      </c>
    </row>
    <row r="428" spans="1:14">
      <c r="A428" s="25" t="s">
        <v>445</v>
      </c>
      <c r="B428" s="25" t="s">
        <v>42</v>
      </c>
      <c r="C428" s="2" t="s">
        <v>60</v>
      </c>
      <c r="D428" s="8" t="s">
        <v>447</v>
      </c>
      <c r="E428" s="8" t="s">
        <v>447</v>
      </c>
      <c r="F428" s="31" t="s">
        <v>383</v>
      </c>
      <c r="G428" s="8" t="s">
        <v>448</v>
      </c>
      <c r="H428" s="8" t="s">
        <v>447</v>
      </c>
      <c r="I428" s="8" t="s">
        <v>447</v>
      </c>
      <c r="J428" s="32">
        <v>16</v>
      </c>
      <c r="K428" s="11">
        <v>49</v>
      </c>
      <c r="L428" s="74">
        <f t="shared" si="50"/>
        <v>784</v>
      </c>
      <c r="M428" s="74">
        <f>L428*1</f>
        <v>784</v>
      </c>
      <c r="N428" s="12">
        <v>100</v>
      </c>
    </row>
    <row r="429" spans="1:14">
      <c r="A429" s="25" t="s">
        <v>445</v>
      </c>
      <c r="B429" s="25" t="s">
        <v>42</v>
      </c>
      <c r="C429" s="2" t="s">
        <v>60</v>
      </c>
      <c r="D429" s="8" t="s">
        <v>447</v>
      </c>
      <c r="E429" s="8" t="s">
        <v>446</v>
      </c>
      <c r="F429" s="31" t="s">
        <v>384</v>
      </c>
      <c r="G429" s="8" t="s">
        <v>449</v>
      </c>
      <c r="H429" s="8" t="s">
        <v>447</v>
      </c>
      <c r="I429" s="8" t="s">
        <v>447</v>
      </c>
      <c r="J429" s="32">
        <v>18</v>
      </c>
      <c r="K429" s="11">
        <v>49</v>
      </c>
      <c r="L429" s="74">
        <f t="shared" si="50"/>
        <v>882</v>
      </c>
      <c r="M429" s="74">
        <f t="shared" ref="M429:M432" si="53">L429*1</f>
        <v>882</v>
      </c>
      <c r="N429" s="12">
        <v>100</v>
      </c>
    </row>
    <row r="430" spans="1:14">
      <c r="A430" s="25" t="s">
        <v>445</v>
      </c>
      <c r="B430" s="25" t="s">
        <v>42</v>
      </c>
      <c r="C430" s="2" t="s">
        <v>60</v>
      </c>
      <c r="D430" s="8" t="s">
        <v>447</v>
      </c>
      <c r="E430" s="8" t="s">
        <v>447</v>
      </c>
      <c r="F430" s="33" t="s">
        <v>385</v>
      </c>
      <c r="G430" s="8" t="s">
        <v>447</v>
      </c>
      <c r="H430" s="8" t="s">
        <v>447</v>
      </c>
      <c r="I430" s="8" t="s">
        <v>447</v>
      </c>
      <c r="J430" s="34">
        <v>14.6</v>
      </c>
      <c r="K430" s="11">
        <v>49</v>
      </c>
      <c r="L430" s="74">
        <f t="shared" si="50"/>
        <v>715.4</v>
      </c>
      <c r="M430" s="74">
        <f t="shared" si="53"/>
        <v>715.4</v>
      </c>
      <c r="N430" s="12">
        <v>100</v>
      </c>
    </row>
    <row r="431" spans="1:14">
      <c r="A431" s="25" t="s">
        <v>450</v>
      </c>
      <c r="B431" s="25" t="s">
        <v>42</v>
      </c>
      <c r="C431" s="2" t="s">
        <v>60</v>
      </c>
      <c r="D431" s="8" t="s">
        <v>447</v>
      </c>
      <c r="E431" s="8" t="s">
        <v>447</v>
      </c>
      <c r="F431" s="33" t="s">
        <v>386</v>
      </c>
      <c r="G431" s="8" t="s">
        <v>447</v>
      </c>
      <c r="H431" s="8" t="s">
        <v>447</v>
      </c>
      <c r="I431" s="8" t="s">
        <v>447</v>
      </c>
      <c r="J431" s="34">
        <v>5</v>
      </c>
      <c r="K431" s="11">
        <v>49</v>
      </c>
      <c r="L431" s="74">
        <f t="shared" si="50"/>
        <v>245</v>
      </c>
      <c r="M431" s="74">
        <f t="shared" si="53"/>
        <v>245</v>
      </c>
      <c r="N431" s="12">
        <v>100</v>
      </c>
    </row>
    <row r="432" spans="1:14">
      <c r="A432" s="25" t="s">
        <v>445</v>
      </c>
      <c r="B432" s="25" t="s">
        <v>42</v>
      </c>
      <c r="C432" s="2" t="s">
        <v>60</v>
      </c>
      <c r="D432" s="8" t="s">
        <v>447</v>
      </c>
      <c r="E432" s="8" t="s">
        <v>447</v>
      </c>
      <c r="F432" s="35" t="s">
        <v>387</v>
      </c>
      <c r="G432" s="8" t="s">
        <v>447</v>
      </c>
      <c r="H432" s="8" t="s">
        <v>447</v>
      </c>
      <c r="I432" s="8" t="s">
        <v>447</v>
      </c>
      <c r="J432" s="36">
        <v>6.5</v>
      </c>
      <c r="K432" s="11">
        <v>49</v>
      </c>
      <c r="L432" s="74">
        <f t="shared" si="50"/>
        <v>318.5</v>
      </c>
      <c r="M432" s="74">
        <f t="shared" si="53"/>
        <v>318.5</v>
      </c>
      <c r="N432" s="12">
        <v>100</v>
      </c>
    </row>
    <row r="433" spans="1:14">
      <c r="A433" s="25" t="s">
        <v>445</v>
      </c>
      <c r="B433" s="25" t="s">
        <v>42</v>
      </c>
      <c r="C433" s="2" t="s">
        <v>60</v>
      </c>
      <c r="D433" s="8" t="s">
        <v>447</v>
      </c>
      <c r="E433" s="8" t="s">
        <v>447</v>
      </c>
      <c r="F433" s="35" t="s">
        <v>388</v>
      </c>
      <c r="G433" s="8" t="s">
        <v>447</v>
      </c>
      <c r="H433" s="8" t="s">
        <v>447</v>
      </c>
      <c r="I433" s="8" t="s">
        <v>446</v>
      </c>
      <c r="J433" s="36">
        <v>2.2999999999999998</v>
      </c>
      <c r="K433" s="11">
        <v>49</v>
      </c>
      <c r="L433" s="74">
        <f t="shared" si="50"/>
        <v>112.69999999999999</v>
      </c>
      <c r="M433" s="74">
        <f>L433*1</f>
        <v>112.69999999999999</v>
      </c>
      <c r="N433" s="12">
        <v>100</v>
      </c>
    </row>
    <row r="434" spans="1:14">
      <c r="A434" s="152" t="s">
        <v>442</v>
      </c>
      <c r="B434" s="153"/>
      <c r="C434" s="153"/>
      <c r="D434" s="153"/>
      <c r="E434" s="153"/>
      <c r="F434" s="153"/>
      <c r="G434" s="153"/>
      <c r="H434" s="153"/>
      <c r="I434" s="153"/>
      <c r="J434" s="154"/>
      <c r="K434" s="11">
        <f>SUM(K419:K433)</f>
        <v>735</v>
      </c>
      <c r="L434" s="74">
        <f t="shared" ref="L434:M434" si="54">SUM(L419:L433)</f>
        <v>17061.800000000003</v>
      </c>
      <c r="M434" s="74">
        <f t="shared" si="54"/>
        <v>14260.960000000001</v>
      </c>
      <c r="N434" s="12"/>
    </row>
    <row r="435" spans="1:14">
      <c r="A435" s="64"/>
      <c r="B435" s="64"/>
      <c r="C435" s="96"/>
      <c r="D435" s="67"/>
      <c r="E435" s="67"/>
      <c r="F435" s="121"/>
      <c r="G435" s="67"/>
      <c r="H435" s="67"/>
      <c r="I435" s="67"/>
      <c r="J435" s="122"/>
      <c r="K435" s="71"/>
      <c r="L435" s="75"/>
      <c r="M435" s="75"/>
      <c r="N435" s="72"/>
    </row>
    <row r="436" spans="1:14" ht="14.25">
      <c r="A436" s="88" t="s">
        <v>444</v>
      </c>
      <c r="B436" s="64"/>
      <c r="C436" s="96"/>
      <c r="D436" s="67"/>
      <c r="E436" s="67"/>
      <c r="F436" s="121"/>
      <c r="G436" s="67"/>
      <c r="H436" s="67"/>
      <c r="I436" s="67"/>
      <c r="J436" s="122"/>
      <c r="K436" s="71"/>
      <c r="L436" s="75"/>
      <c r="M436" s="75"/>
      <c r="N436" s="72"/>
    </row>
    <row r="437" spans="1:14" ht="14.25">
      <c r="A437" s="88" t="s">
        <v>443</v>
      </c>
      <c r="B437" s="64"/>
      <c r="C437" s="96"/>
      <c r="D437" s="67"/>
      <c r="E437" s="67"/>
      <c r="F437" s="121"/>
      <c r="G437" s="67"/>
      <c r="H437" s="67"/>
      <c r="I437" s="67"/>
      <c r="J437" s="122"/>
      <c r="K437" s="71"/>
      <c r="L437" s="75"/>
      <c r="M437" s="75"/>
      <c r="N437" s="72"/>
    </row>
    <row r="438" spans="1:14">
      <c r="A438" s="64"/>
      <c r="B438" s="64"/>
      <c r="C438" s="96"/>
      <c r="D438" s="67"/>
      <c r="E438" s="67"/>
      <c r="F438" s="121"/>
      <c r="G438" s="67"/>
      <c r="H438" s="67"/>
      <c r="I438" s="67"/>
      <c r="J438" s="122"/>
      <c r="K438" s="71"/>
      <c r="L438" s="75"/>
      <c r="M438" s="75"/>
      <c r="N438" s="72"/>
    </row>
    <row r="439" spans="1:14">
      <c r="A439" s="64"/>
      <c r="B439" s="64"/>
      <c r="C439" s="96"/>
      <c r="D439" s="67"/>
      <c r="E439" s="67"/>
      <c r="F439" s="121"/>
      <c r="G439" s="67"/>
      <c r="H439" s="67"/>
      <c r="I439" s="67"/>
      <c r="J439" s="122"/>
      <c r="K439" s="71"/>
      <c r="L439" s="75"/>
      <c r="M439" s="75"/>
      <c r="N439" s="72"/>
    </row>
    <row r="440" spans="1:14">
      <c r="A440" s="64"/>
      <c r="B440" s="64"/>
      <c r="C440" s="96"/>
      <c r="D440" s="67"/>
      <c r="E440" s="67"/>
      <c r="F440" s="121"/>
      <c r="G440" s="67"/>
      <c r="H440" s="67"/>
      <c r="I440" s="67"/>
      <c r="J440" s="122"/>
      <c r="K440" s="71"/>
      <c r="L440" s="75"/>
      <c r="M440" s="75"/>
      <c r="N440" s="72"/>
    </row>
    <row r="441" spans="1:14">
      <c r="A441" s="64"/>
      <c r="B441" s="64"/>
      <c r="C441" s="96"/>
      <c r="D441" s="67"/>
      <c r="E441" s="67"/>
      <c r="F441" s="121"/>
      <c r="G441" s="67"/>
      <c r="H441" s="67"/>
      <c r="I441" s="67"/>
      <c r="J441" s="122"/>
      <c r="K441" s="71"/>
      <c r="L441" s="75"/>
      <c r="M441" s="75"/>
      <c r="N441" s="72"/>
    </row>
    <row r="442" spans="1:14">
      <c r="A442" s="64"/>
      <c r="B442" s="64"/>
      <c r="C442" s="96"/>
      <c r="D442" s="67"/>
      <c r="E442" s="67"/>
      <c r="F442" s="121"/>
      <c r="G442" s="67"/>
      <c r="H442" s="67"/>
      <c r="I442" s="67"/>
      <c r="J442" s="122"/>
      <c r="K442" s="71"/>
      <c r="L442" s="75"/>
      <c r="M442" s="75"/>
      <c r="N442" s="72"/>
    </row>
    <row r="443" spans="1:14">
      <c r="A443" s="64"/>
      <c r="B443" s="64"/>
      <c r="C443" s="96"/>
      <c r="D443" s="67"/>
      <c r="E443" s="67"/>
      <c r="F443" s="121"/>
      <c r="G443" s="67"/>
      <c r="H443" s="67"/>
      <c r="I443" s="67"/>
      <c r="J443" s="122"/>
      <c r="K443" s="71"/>
      <c r="L443" s="75"/>
      <c r="M443" s="75"/>
      <c r="N443" s="72"/>
    </row>
    <row r="444" spans="1:14">
      <c r="A444" s="64"/>
      <c r="B444" s="64"/>
      <c r="C444" s="96"/>
      <c r="D444" s="67"/>
      <c r="E444" s="67"/>
      <c r="F444" s="121"/>
      <c r="G444" s="67"/>
      <c r="H444" s="67"/>
      <c r="I444" s="67"/>
      <c r="J444" s="122"/>
      <c r="K444" s="71"/>
      <c r="L444" s="75"/>
      <c r="M444" s="75"/>
      <c r="N444" s="72"/>
    </row>
    <row r="445" spans="1:14">
      <c r="A445" s="64"/>
      <c r="B445" s="64"/>
      <c r="C445" s="96"/>
      <c r="D445" s="67"/>
      <c r="E445" s="67"/>
      <c r="F445" s="121"/>
      <c r="G445" s="67"/>
      <c r="H445" s="67"/>
      <c r="I445" s="67"/>
      <c r="J445" s="122"/>
      <c r="K445" s="71"/>
      <c r="L445" s="75"/>
      <c r="M445" s="75"/>
      <c r="N445" s="72"/>
    </row>
    <row r="563" spans="12:13">
      <c r="L563" s="77"/>
      <c r="M563" s="77"/>
    </row>
  </sheetData>
  <sortState ref="A5:P333">
    <sortCondition ref="B5:B333"/>
    <sortCondition ref="D5:D333"/>
  </sortState>
  <mergeCells count="24">
    <mergeCell ref="A228:J228"/>
    <mergeCell ref="A253:J253"/>
    <mergeCell ref="A279:J279"/>
    <mergeCell ref="A304:J304"/>
    <mergeCell ref="A121:J121"/>
    <mergeCell ref="A131:J131"/>
    <mergeCell ref="A194:J194"/>
    <mergeCell ref="A146:J146"/>
    <mergeCell ref="A163:J163"/>
    <mergeCell ref="A179:J179"/>
    <mergeCell ref="A2:N2"/>
    <mergeCell ref="A69:J69"/>
    <mergeCell ref="A83:J83"/>
    <mergeCell ref="A98:J98"/>
    <mergeCell ref="A111:J111"/>
    <mergeCell ref="A9:J9"/>
    <mergeCell ref="A23:J23"/>
    <mergeCell ref="A37:J37"/>
    <mergeCell ref="A52:J52"/>
    <mergeCell ref="A330:J330"/>
    <mergeCell ref="A358:J358"/>
    <mergeCell ref="A386:J386"/>
    <mergeCell ref="A410:J410"/>
    <mergeCell ref="A434:J434"/>
  </mergeCells>
  <phoneticPr fontId="1" type="noConversion"/>
  <printOptions horizontalCentered="1"/>
  <pageMargins left="0.15748031496062992" right="0.15748031496062992" top="0.3937007874015748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3"/>
  <sheetViews>
    <sheetView topLeftCell="A212" workbookViewId="0">
      <selection activeCell="F226" sqref="F226"/>
    </sheetView>
  </sheetViews>
  <sheetFormatPr defaultRowHeight="13.5"/>
  <cols>
    <col min="1" max="2" width="4.5" bestFit="1" customWidth="1"/>
    <col min="3" max="3" width="19.75" bestFit="1" customWidth="1"/>
    <col min="4" max="4" width="10.5" bestFit="1" customWidth="1"/>
    <col min="5" max="5" width="14.75" bestFit="1" customWidth="1"/>
    <col min="6" max="6" width="41.375" customWidth="1"/>
    <col min="7" max="7" width="4.625" customWidth="1"/>
    <col min="8" max="8" width="4.375" customWidth="1"/>
    <col min="9" max="9" width="5.25" customWidth="1"/>
    <col min="10" max="10" width="6" bestFit="1" customWidth="1"/>
    <col min="11" max="11" width="5.25" customWidth="1"/>
    <col min="12" max="12" width="4.5" style="144" bestFit="1" customWidth="1"/>
    <col min="13" max="13" width="8.25" bestFit="1" customWidth="1"/>
    <col min="14" max="14" width="7.5" bestFit="1" customWidth="1"/>
    <col min="15" max="15" width="5.25" bestFit="1" customWidth="1"/>
  </cols>
  <sheetData>
    <row r="2" spans="1:15" ht="20.25">
      <c r="A2" s="155" t="s">
        <v>458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>
      <c r="A4" s="25" t="s">
        <v>76</v>
      </c>
      <c r="B4" s="7" t="s">
        <v>1</v>
      </c>
      <c r="C4" s="7" t="s">
        <v>284</v>
      </c>
      <c r="D4" s="27" t="s">
        <v>0</v>
      </c>
      <c r="E4" s="27" t="s">
        <v>3</v>
      </c>
      <c r="F4" s="27" t="s">
        <v>4</v>
      </c>
      <c r="G4" s="28" t="s">
        <v>5</v>
      </c>
      <c r="H4" s="27" t="s">
        <v>6</v>
      </c>
      <c r="I4" s="27" t="s">
        <v>7</v>
      </c>
      <c r="J4" s="27" t="s">
        <v>8</v>
      </c>
      <c r="K4" s="27" t="s">
        <v>451</v>
      </c>
      <c r="L4" s="29" t="s">
        <v>393</v>
      </c>
      <c r="M4" s="73" t="s">
        <v>394</v>
      </c>
      <c r="N4" s="73" t="s">
        <v>395</v>
      </c>
      <c r="O4" s="29" t="s">
        <v>9</v>
      </c>
    </row>
    <row r="5" spans="1:15">
      <c r="A5" s="25" t="s">
        <v>80</v>
      </c>
      <c r="B5" s="7" t="s">
        <v>180</v>
      </c>
      <c r="C5" s="6" t="s">
        <v>61</v>
      </c>
      <c r="D5" s="8" t="str">
        <f>"PO1508060063"</f>
        <v>PO1508060063</v>
      </c>
      <c r="E5" s="8" t="str">
        <f>"9787511422125"</f>
        <v>9787511422125</v>
      </c>
      <c r="F5" s="21" t="s">
        <v>100</v>
      </c>
      <c r="G5" s="8" t="s">
        <v>99</v>
      </c>
      <c r="H5" s="9" t="s">
        <v>98</v>
      </c>
      <c r="I5" s="8" t="s">
        <v>97</v>
      </c>
      <c r="J5" s="10">
        <v>30</v>
      </c>
      <c r="K5" s="10">
        <f>J5*0.8</f>
        <v>24</v>
      </c>
      <c r="L5" s="12">
        <v>24</v>
      </c>
      <c r="M5" s="74">
        <f t="shared" ref="M5:M10" si="0">J5*L5</f>
        <v>720</v>
      </c>
      <c r="N5" s="74">
        <f>M5*0.8</f>
        <v>576</v>
      </c>
      <c r="O5" s="12">
        <v>80</v>
      </c>
    </row>
    <row r="6" spans="1:15">
      <c r="A6" s="25" t="s">
        <v>83</v>
      </c>
      <c r="B6" s="7" t="s">
        <v>180</v>
      </c>
      <c r="C6" s="6" t="s">
        <v>61</v>
      </c>
      <c r="D6" s="8" t="str">
        <f>"PO1508060063"</f>
        <v>PO1508060063</v>
      </c>
      <c r="E6" s="8" t="str">
        <f>"9787561529300"</f>
        <v>9787561529300</v>
      </c>
      <c r="F6" s="21" t="s">
        <v>165</v>
      </c>
      <c r="G6" s="8" t="s">
        <v>164</v>
      </c>
      <c r="H6" s="9" t="s">
        <v>163</v>
      </c>
      <c r="I6" s="8" t="s">
        <v>162</v>
      </c>
      <c r="J6" s="10">
        <v>30</v>
      </c>
      <c r="K6" s="10">
        <f>J6*0.8</f>
        <v>24</v>
      </c>
      <c r="L6" s="12">
        <v>24</v>
      </c>
      <c r="M6" s="74">
        <f t="shared" si="0"/>
        <v>720</v>
      </c>
      <c r="N6" s="74">
        <f>M6*0.8</f>
        <v>576</v>
      </c>
      <c r="O6" s="12">
        <v>80</v>
      </c>
    </row>
    <row r="7" spans="1:15">
      <c r="A7" s="25" t="s">
        <v>83</v>
      </c>
      <c r="B7" s="7" t="s">
        <v>180</v>
      </c>
      <c r="C7" s="6" t="s">
        <v>61</v>
      </c>
      <c r="D7" s="8" t="str">
        <f>"PO1508060063"</f>
        <v>PO1508060063</v>
      </c>
      <c r="E7" s="8" t="str">
        <f>"9787561145586"</f>
        <v>9787561145586</v>
      </c>
      <c r="F7" s="21" t="s">
        <v>179</v>
      </c>
      <c r="G7" s="8" t="s">
        <v>178</v>
      </c>
      <c r="H7" s="9" t="s">
        <v>177</v>
      </c>
      <c r="I7" s="8" t="s">
        <v>176</v>
      </c>
      <c r="J7" s="10">
        <v>35</v>
      </c>
      <c r="K7" s="10">
        <f>J7*0.8</f>
        <v>28</v>
      </c>
      <c r="L7" s="12">
        <v>24</v>
      </c>
      <c r="M7" s="74">
        <f t="shared" si="0"/>
        <v>840</v>
      </c>
      <c r="N7" s="74">
        <f>M7*0.8</f>
        <v>672</v>
      </c>
      <c r="O7" s="12">
        <v>80</v>
      </c>
    </row>
    <row r="8" spans="1:15">
      <c r="A8" s="25" t="s">
        <v>83</v>
      </c>
      <c r="B8" s="7" t="s">
        <v>180</v>
      </c>
      <c r="C8" s="6" t="s">
        <v>61</v>
      </c>
      <c r="D8" s="4" t="s">
        <v>377</v>
      </c>
      <c r="E8" s="4" t="s">
        <v>376</v>
      </c>
      <c r="F8" s="33" t="s">
        <v>386</v>
      </c>
      <c r="G8" s="4" t="s">
        <v>376</v>
      </c>
      <c r="H8" s="4" t="s">
        <v>375</v>
      </c>
      <c r="I8" s="4" t="s">
        <v>376</v>
      </c>
      <c r="J8" s="30">
        <v>5</v>
      </c>
      <c r="K8" s="30">
        <f>J8*1</f>
        <v>5</v>
      </c>
      <c r="L8" s="12">
        <v>21</v>
      </c>
      <c r="M8" s="74">
        <f t="shared" si="0"/>
        <v>105</v>
      </c>
      <c r="N8" s="74">
        <f>M8*1</f>
        <v>105</v>
      </c>
      <c r="O8" s="12">
        <v>100</v>
      </c>
    </row>
    <row r="9" spans="1:15">
      <c r="A9" s="25" t="s">
        <v>83</v>
      </c>
      <c r="B9" s="7" t="s">
        <v>180</v>
      </c>
      <c r="C9" s="6" t="s">
        <v>61</v>
      </c>
      <c r="D9" s="4" t="s">
        <v>377</v>
      </c>
      <c r="E9" s="4" t="s">
        <v>376</v>
      </c>
      <c r="F9" s="47" t="s">
        <v>434</v>
      </c>
      <c r="G9" s="4" t="s">
        <v>376</v>
      </c>
      <c r="H9" s="4" t="s">
        <v>375</v>
      </c>
      <c r="I9" s="4" t="s">
        <v>376</v>
      </c>
      <c r="J9" s="30">
        <v>3.6</v>
      </c>
      <c r="K9" s="30">
        <f>J9*1</f>
        <v>3.6</v>
      </c>
      <c r="L9" s="12">
        <v>25</v>
      </c>
      <c r="M9" s="74">
        <f t="shared" si="0"/>
        <v>90</v>
      </c>
      <c r="N9" s="74">
        <f>M9*1</f>
        <v>90</v>
      </c>
      <c r="O9" s="12">
        <v>100</v>
      </c>
    </row>
    <row r="10" spans="1:15">
      <c r="A10" s="25" t="s">
        <v>83</v>
      </c>
      <c r="B10" s="7" t="s">
        <v>180</v>
      </c>
      <c r="C10" s="6" t="s">
        <v>61</v>
      </c>
      <c r="D10" s="4" t="s">
        <v>377</v>
      </c>
      <c r="E10" s="4" t="s">
        <v>376</v>
      </c>
      <c r="F10" s="46" t="s">
        <v>435</v>
      </c>
      <c r="G10" s="4" t="s">
        <v>376</v>
      </c>
      <c r="H10" s="4" t="s">
        <v>375</v>
      </c>
      <c r="I10" s="4" t="s">
        <v>376</v>
      </c>
      <c r="J10" s="30">
        <v>4</v>
      </c>
      <c r="K10" s="30">
        <f>J10*1</f>
        <v>4</v>
      </c>
      <c r="L10" s="12">
        <v>25</v>
      </c>
      <c r="M10" s="74">
        <f t="shared" si="0"/>
        <v>100</v>
      </c>
      <c r="N10" s="74">
        <f>M10*1</f>
        <v>100</v>
      </c>
      <c r="O10" s="12">
        <v>100</v>
      </c>
    </row>
    <row r="11" spans="1:15">
      <c r="A11" s="152" t="s">
        <v>453</v>
      </c>
      <c r="B11" s="153"/>
      <c r="C11" s="153"/>
      <c r="D11" s="153"/>
      <c r="E11" s="153"/>
      <c r="F11" s="153"/>
      <c r="G11" s="153"/>
      <c r="H11" s="153"/>
      <c r="I11" s="154"/>
      <c r="J11" s="108">
        <f>SUM(J5:J10)</f>
        <v>107.6</v>
      </c>
      <c r="K11" s="108">
        <f>SUM(K5:K10)</f>
        <v>88.6</v>
      </c>
      <c r="L11" s="142">
        <f>SUM(L5:L10)</f>
        <v>143</v>
      </c>
      <c r="M11" s="108">
        <f>SUM(M5:M10)</f>
        <v>2575</v>
      </c>
      <c r="N11" s="108">
        <f>SUM(N5:N10)</f>
        <v>2119</v>
      </c>
      <c r="O11" s="54"/>
    </row>
    <row r="12" spans="1:15">
      <c r="A12" s="64"/>
      <c r="B12" s="65"/>
      <c r="C12" s="129"/>
      <c r="D12" s="109"/>
      <c r="E12" s="109"/>
      <c r="F12" s="130"/>
      <c r="G12" s="109"/>
      <c r="H12" s="109"/>
      <c r="I12" s="109"/>
      <c r="J12" s="111"/>
      <c r="K12" s="111"/>
      <c r="L12" s="72"/>
      <c r="M12" s="75"/>
      <c r="N12" s="75"/>
      <c r="O12" s="72"/>
    </row>
    <row r="13" spans="1:15" ht="14.25">
      <c r="A13" s="88" t="s">
        <v>444</v>
      </c>
      <c r="B13" s="65"/>
      <c r="C13" s="129"/>
      <c r="D13" s="109"/>
      <c r="E13" s="109"/>
      <c r="F13" s="130"/>
      <c r="G13" s="109"/>
      <c r="H13" s="109"/>
      <c r="I13" s="109"/>
      <c r="J13" s="111"/>
      <c r="K13" s="111"/>
      <c r="L13" s="72"/>
      <c r="M13" s="75"/>
      <c r="N13" s="75"/>
      <c r="O13" s="72"/>
    </row>
    <row r="14" spans="1:15" ht="14.25">
      <c r="A14" s="88" t="s">
        <v>443</v>
      </c>
      <c r="B14" s="65"/>
      <c r="C14" s="129"/>
      <c r="D14" s="109"/>
      <c r="E14" s="109"/>
      <c r="F14" s="130"/>
      <c r="G14" s="109"/>
      <c r="H14" s="109"/>
      <c r="I14" s="109"/>
      <c r="J14" s="111"/>
      <c r="K14" s="111"/>
      <c r="L14" s="72"/>
      <c r="M14" s="75"/>
      <c r="N14" s="75"/>
      <c r="O14" s="72"/>
    </row>
    <row r="15" spans="1:15">
      <c r="A15" s="64"/>
      <c r="B15" s="65"/>
      <c r="C15" s="129"/>
      <c r="D15" s="109"/>
      <c r="E15" s="109"/>
      <c r="F15" s="130"/>
      <c r="G15" s="109"/>
      <c r="H15" s="109"/>
      <c r="I15" s="109"/>
      <c r="J15" s="111"/>
      <c r="K15" s="111"/>
      <c r="L15" s="72"/>
      <c r="M15" s="75"/>
      <c r="N15" s="75"/>
      <c r="O15" s="72"/>
    </row>
    <row r="16" spans="1:15">
      <c r="A16" s="64"/>
      <c r="B16" s="65"/>
      <c r="C16" s="129"/>
      <c r="D16" s="109"/>
      <c r="E16" s="109"/>
      <c r="F16" s="130"/>
      <c r="G16" s="109"/>
      <c r="H16" s="109"/>
      <c r="I16" s="109"/>
      <c r="J16" s="111"/>
      <c r="K16" s="111"/>
      <c r="L16" s="72"/>
      <c r="M16" s="75"/>
      <c r="N16" s="75"/>
      <c r="O16" s="72"/>
    </row>
    <row r="17" spans="1:15">
      <c r="A17" s="64"/>
      <c r="B17" s="65"/>
      <c r="C17" s="129"/>
      <c r="D17" s="109"/>
      <c r="E17" s="109"/>
      <c r="F17" s="130"/>
      <c r="G17" s="109"/>
      <c r="H17" s="109"/>
      <c r="I17" s="109"/>
      <c r="J17" s="111"/>
      <c r="K17" s="111"/>
      <c r="L17" s="72"/>
      <c r="M17" s="75"/>
      <c r="N17" s="75"/>
      <c r="O17" s="72"/>
    </row>
    <row r="18" spans="1:15">
      <c r="A18" s="64"/>
      <c r="B18" s="65"/>
      <c r="C18" s="129"/>
      <c r="D18" s="109"/>
      <c r="E18" s="109"/>
      <c r="F18" s="130"/>
      <c r="G18" s="109"/>
      <c r="H18" s="109"/>
      <c r="I18" s="109"/>
      <c r="J18" s="111"/>
      <c r="K18" s="111"/>
      <c r="L18" s="72"/>
      <c r="M18" s="75"/>
      <c r="N18" s="75"/>
      <c r="O18" s="72"/>
    </row>
    <row r="19" spans="1:15">
      <c r="A19" s="64"/>
      <c r="B19" s="65"/>
      <c r="C19" s="129"/>
      <c r="D19" s="109"/>
      <c r="E19" s="109"/>
      <c r="F19" s="130"/>
      <c r="G19" s="109"/>
      <c r="H19" s="109"/>
      <c r="I19" s="109"/>
      <c r="J19" s="111"/>
      <c r="K19" s="111"/>
      <c r="L19" s="72"/>
      <c r="M19" s="75"/>
      <c r="N19" s="75"/>
      <c r="O19" s="72"/>
    </row>
    <row r="20" spans="1:15">
      <c r="A20" s="64"/>
      <c r="B20" s="65"/>
      <c r="C20" s="129"/>
      <c r="D20" s="109"/>
      <c r="E20" s="109"/>
      <c r="F20" s="130"/>
      <c r="G20" s="109"/>
      <c r="H20" s="109"/>
      <c r="I20" s="109"/>
      <c r="J20" s="111"/>
      <c r="K20" s="111"/>
      <c r="L20" s="72"/>
      <c r="M20" s="75"/>
      <c r="N20" s="75"/>
      <c r="O20" s="72"/>
    </row>
    <row r="21" spans="1:15">
      <c r="A21" s="64"/>
      <c r="B21" s="65"/>
      <c r="C21" s="129"/>
      <c r="D21" s="109"/>
      <c r="E21" s="109"/>
      <c r="F21" s="130"/>
      <c r="G21" s="109"/>
      <c r="H21" s="109"/>
      <c r="I21" s="109"/>
      <c r="J21" s="111"/>
      <c r="K21" s="111"/>
      <c r="L21" s="72"/>
      <c r="M21" s="75"/>
      <c r="N21" s="75"/>
      <c r="O21" s="72"/>
    </row>
    <row r="22" spans="1:15">
      <c r="A22" s="64"/>
      <c r="B22" s="65"/>
      <c r="C22" s="129"/>
      <c r="D22" s="109"/>
      <c r="E22" s="109"/>
      <c r="F22" s="130"/>
      <c r="G22" s="109"/>
      <c r="H22" s="109"/>
      <c r="I22" s="109"/>
      <c r="J22" s="111"/>
      <c r="K22" s="111"/>
      <c r="L22" s="72"/>
      <c r="M22" s="75"/>
      <c r="N22" s="75"/>
      <c r="O22" s="72"/>
    </row>
    <row r="23" spans="1:15">
      <c r="A23" s="64"/>
      <c r="B23" s="65"/>
      <c r="C23" s="129"/>
      <c r="D23" s="109"/>
      <c r="E23" s="109"/>
      <c r="F23" s="130"/>
      <c r="G23" s="109"/>
      <c r="H23" s="109"/>
      <c r="I23" s="109"/>
      <c r="J23" s="111"/>
      <c r="K23" s="111"/>
      <c r="L23" s="72"/>
      <c r="M23" s="75"/>
      <c r="N23" s="75"/>
      <c r="O23" s="72"/>
    </row>
    <row r="24" spans="1:15">
      <c r="A24" s="64"/>
      <c r="B24" s="65"/>
      <c r="C24" s="129"/>
      <c r="D24" s="109"/>
      <c r="E24" s="109"/>
      <c r="F24" s="130"/>
      <c r="G24" s="109"/>
      <c r="H24" s="109"/>
      <c r="I24" s="109"/>
      <c r="J24" s="111"/>
      <c r="K24" s="111"/>
      <c r="L24" s="72"/>
      <c r="M24" s="75"/>
      <c r="N24" s="75"/>
      <c r="O24" s="72"/>
    </row>
    <row r="25" spans="1:15">
      <c r="A25" s="25" t="s">
        <v>76</v>
      </c>
      <c r="B25" s="7" t="s">
        <v>1</v>
      </c>
      <c r="C25" s="7" t="s">
        <v>284</v>
      </c>
      <c r="D25" s="27" t="s">
        <v>0</v>
      </c>
      <c r="E25" s="27" t="s">
        <v>3</v>
      </c>
      <c r="F25" s="27" t="s">
        <v>4</v>
      </c>
      <c r="G25" s="28" t="s">
        <v>5</v>
      </c>
      <c r="H25" s="27" t="s">
        <v>6</v>
      </c>
      <c r="I25" s="27" t="s">
        <v>7</v>
      </c>
      <c r="J25" s="27" t="s">
        <v>8</v>
      </c>
      <c r="K25" s="27" t="s">
        <v>451</v>
      </c>
      <c r="L25" s="29" t="s">
        <v>393</v>
      </c>
      <c r="M25" s="73" t="s">
        <v>394</v>
      </c>
      <c r="N25" s="73" t="s">
        <v>395</v>
      </c>
      <c r="O25" s="29" t="s">
        <v>9</v>
      </c>
    </row>
    <row r="26" spans="1:15">
      <c r="A26" s="25" t="s">
        <v>83</v>
      </c>
      <c r="B26" s="7" t="s">
        <v>27</v>
      </c>
      <c r="C26" s="6" t="s">
        <v>62</v>
      </c>
      <c r="D26" s="8" t="str">
        <f>"PO1508060064"</f>
        <v>PO1508060064</v>
      </c>
      <c r="E26" s="8" t="str">
        <f>"9787511422125"</f>
        <v>9787511422125</v>
      </c>
      <c r="F26" s="21" t="s">
        <v>100</v>
      </c>
      <c r="G26" s="8" t="s">
        <v>99</v>
      </c>
      <c r="H26" s="9" t="s">
        <v>98</v>
      </c>
      <c r="I26" s="8" t="s">
        <v>97</v>
      </c>
      <c r="J26" s="10">
        <v>30</v>
      </c>
      <c r="K26" s="10">
        <f>J26*0.8</f>
        <v>24</v>
      </c>
      <c r="L26" s="12">
        <v>25</v>
      </c>
      <c r="M26" s="74">
        <f t="shared" ref="M26:M31" si="1">J26*L26</f>
        <v>750</v>
      </c>
      <c r="N26" s="74">
        <f>M26*0.8</f>
        <v>600</v>
      </c>
      <c r="O26" s="12">
        <v>80</v>
      </c>
    </row>
    <row r="27" spans="1:15">
      <c r="A27" s="25" t="s">
        <v>83</v>
      </c>
      <c r="B27" s="7" t="s">
        <v>27</v>
      </c>
      <c r="C27" s="6" t="s">
        <v>62</v>
      </c>
      <c r="D27" s="8" t="str">
        <f>"PO1508060064"</f>
        <v>PO1508060064</v>
      </c>
      <c r="E27" s="8" t="str">
        <f>"9787561529300"</f>
        <v>9787561529300</v>
      </c>
      <c r="F27" s="21" t="s">
        <v>165</v>
      </c>
      <c r="G27" s="8" t="s">
        <v>164</v>
      </c>
      <c r="H27" s="9" t="s">
        <v>163</v>
      </c>
      <c r="I27" s="8" t="s">
        <v>162</v>
      </c>
      <c r="J27" s="10">
        <v>30</v>
      </c>
      <c r="K27" s="10">
        <f>J27*0.8</f>
        <v>24</v>
      </c>
      <c r="L27" s="12">
        <v>25</v>
      </c>
      <c r="M27" s="74">
        <f t="shared" si="1"/>
        <v>750</v>
      </c>
      <c r="N27" s="74">
        <f>M27*0.8</f>
        <v>600</v>
      </c>
      <c r="O27" s="12">
        <v>80</v>
      </c>
    </row>
    <row r="28" spans="1:15">
      <c r="A28" s="25" t="s">
        <v>83</v>
      </c>
      <c r="B28" s="7" t="s">
        <v>27</v>
      </c>
      <c r="C28" s="6" t="s">
        <v>62</v>
      </c>
      <c r="D28" s="8" t="str">
        <f>"PO1508060064"</f>
        <v>PO1508060064</v>
      </c>
      <c r="E28" s="8" t="str">
        <f>"9787561145586"</f>
        <v>9787561145586</v>
      </c>
      <c r="F28" s="21" t="s">
        <v>179</v>
      </c>
      <c r="G28" s="8" t="s">
        <v>178</v>
      </c>
      <c r="H28" s="9" t="s">
        <v>177</v>
      </c>
      <c r="I28" s="8" t="s">
        <v>176</v>
      </c>
      <c r="J28" s="10">
        <v>35</v>
      </c>
      <c r="K28" s="10">
        <f>J28*0.8</f>
        <v>28</v>
      </c>
      <c r="L28" s="12">
        <v>25</v>
      </c>
      <c r="M28" s="74">
        <f t="shared" si="1"/>
        <v>875</v>
      </c>
      <c r="N28" s="74">
        <f>M28*0.8</f>
        <v>700</v>
      </c>
      <c r="O28" s="12">
        <v>80</v>
      </c>
    </row>
    <row r="29" spans="1:15">
      <c r="A29" s="25" t="s">
        <v>83</v>
      </c>
      <c r="B29" s="7" t="s">
        <v>27</v>
      </c>
      <c r="C29" s="6" t="s">
        <v>62</v>
      </c>
      <c r="D29" s="4" t="s">
        <v>377</v>
      </c>
      <c r="E29" s="4" t="s">
        <v>376</v>
      </c>
      <c r="F29" s="33" t="s">
        <v>386</v>
      </c>
      <c r="G29" s="4" t="s">
        <v>376</v>
      </c>
      <c r="H29" s="4" t="s">
        <v>375</v>
      </c>
      <c r="I29" s="4" t="s">
        <v>376</v>
      </c>
      <c r="J29" s="30">
        <v>5</v>
      </c>
      <c r="K29" s="30">
        <f>J29*1</f>
        <v>5</v>
      </c>
      <c r="L29" s="12">
        <v>25</v>
      </c>
      <c r="M29" s="74">
        <f t="shared" si="1"/>
        <v>125</v>
      </c>
      <c r="N29" s="74">
        <f>M29*1</f>
        <v>125</v>
      </c>
      <c r="O29" s="12">
        <v>100</v>
      </c>
    </row>
    <row r="30" spans="1:15">
      <c r="A30" s="25" t="s">
        <v>83</v>
      </c>
      <c r="B30" s="7" t="s">
        <v>27</v>
      </c>
      <c r="C30" s="6" t="s">
        <v>62</v>
      </c>
      <c r="D30" s="4" t="s">
        <v>377</v>
      </c>
      <c r="E30" s="4" t="s">
        <v>376</v>
      </c>
      <c r="F30" s="47" t="s">
        <v>434</v>
      </c>
      <c r="G30" s="4" t="s">
        <v>376</v>
      </c>
      <c r="H30" s="4" t="s">
        <v>375</v>
      </c>
      <c r="I30" s="4" t="s">
        <v>376</v>
      </c>
      <c r="J30" s="30">
        <v>3.6</v>
      </c>
      <c r="K30" s="30">
        <f>J30*1</f>
        <v>3.6</v>
      </c>
      <c r="L30" s="12">
        <v>25</v>
      </c>
      <c r="M30" s="74">
        <f t="shared" si="1"/>
        <v>90</v>
      </c>
      <c r="N30" s="74">
        <f>M30*1</f>
        <v>90</v>
      </c>
      <c r="O30" s="12">
        <v>100</v>
      </c>
    </row>
    <row r="31" spans="1:15">
      <c r="A31" s="25" t="s">
        <v>83</v>
      </c>
      <c r="B31" s="7" t="s">
        <v>27</v>
      </c>
      <c r="C31" s="6" t="s">
        <v>62</v>
      </c>
      <c r="D31" s="4" t="s">
        <v>377</v>
      </c>
      <c r="E31" s="4" t="s">
        <v>376</v>
      </c>
      <c r="F31" s="46" t="s">
        <v>435</v>
      </c>
      <c r="G31" s="4" t="s">
        <v>376</v>
      </c>
      <c r="H31" s="4" t="s">
        <v>375</v>
      </c>
      <c r="I31" s="4" t="s">
        <v>376</v>
      </c>
      <c r="J31" s="30">
        <v>4</v>
      </c>
      <c r="K31" s="30">
        <f>J31*1</f>
        <v>4</v>
      </c>
      <c r="L31" s="12">
        <v>25</v>
      </c>
      <c r="M31" s="74">
        <f t="shared" si="1"/>
        <v>100</v>
      </c>
      <c r="N31" s="74">
        <f>M31*1</f>
        <v>100</v>
      </c>
      <c r="O31" s="12">
        <v>100</v>
      </c>
    </row>
    <row r="32" spans="1:15">
      <c r="A32" s="156" t="s">
        <v>454</v>
      </c>
      <c r="B32" s="157"/>
      <c r="C32" s="157"/>
      <c r="D32" s="157"/>
      <c r="E32" s="157"/>
      <c r="F32" s="157"/>
      <c r="G32" s="157"/>
      <c r="H32" s="157"/>
      <c r="I32" s="158"/>
      <c r="J32" s="141">
        <f>SUM(J26:J31)</f>
        <v>107.6</v>
      </c>
      <c r="K32" s="141">
        <f>SUM(K26:K31)</f>
        <v>88.6</v>
      </c>
      <c r="L32" s="131">
        <f>SUM(L26:L31)</f>
        <v>150</v>
      </c>
      <c r="M32" s="141">
        <f>SUM(M26:M31)</f>
        <v>2690</v>
      </c>
      <c r="N32" s="141">
        <f>SUM(N26:N31)</f>
        <v>2215</v>
      </c>
      <c r="O32" s="131"/>
    </row>
    <row r="33" spans="1:15" ht="14.25">
      <c r="A33" s="88" t="s">
        <v>444</v>
      </c>
      <c r="B33" s="65"/>
      <c r="C33" s="65"/>
      <c r="D33" s="132"/>
      <c r="E33" s="132"/>
      <c r="F33" s="132"/>
      <c r="G33" s="133"/>
      <c r="H33" s="132"/>
      <c r="I33" s="132"/>
      <c r="J33" s="132"/>
      <c r="K33" s="132"/>
      <c r="L33" s="135"/>
      <c r="M33" s="134"/>
      <c r="N33" s="134"/>
      <c r="O33" s="135"/>
    </row>
    <row r="34" spans="1:15" ht="14.25">
      <c r="A34" s="88" t="s">
        <v>443</v>
      </c>
      <c r="B34" s="65"/>
      <c r="C34" s="65"/>
      <c r="D34" s="132"/>
      <c r="E34" s="132"/>
      <c r="F34" s="132"/>
      <c r="G34" s="133"/>
      <c r="H34" s="132"/>
      <c r="I34" s="132"/>
      <c r="J34" s="132"/>
      <c r="K34" s="132"/>
      <c r="L34" s="135"/>
      <c r="M34" s="134"/>
      <c r="N34" s="134"/>
      <c r="O34" s="135"/>
    </row>
    <row r="35" spans="1:15">
      <c r="A35" s="64"/>
      <c r="B35" s="65"/>
      <c r="C35" s="65"/>
      <c r="D35" s="132"/>
      <c r="E35" s="132"/>
      <c r="F35" s="132"/>
      <c r="G35" s="133"/>
      <c r="H35" s="132"/>
      <c r="I35" s="132"/>
      <c r="J35" s="132"/>
      <c r="K35" s="132"/>
      <c r="L35" s="135"/>
      <c r="M35" s="134"/>
      <c r="N35" s="134"/>
      <c r="O35" s="135"/>
    </row>
    <row r="36" spans="1:15">
      <c r="A36" s="64"/>
      <c r="B36" s="65"/>
      <c r="C36" s="65"/>
      <c r="D36" s="132"/>
      <c r="E36" s="132"/>
      <c r="F36" s="132"/>
      <c r="G36" s="133"/>
      <c r="H36" s="132"/>
      <c r="I36" s="132"/>
      <c r="J36" s="132"/>
      <c r="K36" s="132"/>
      <c r="L36" s="135"/>
      <c r="M36" s="134"/>
      <c r="N36" s="134"/>
      <c r="O36" s="135"/>
    </row>
    <row r="37" spans="1:15">
      <c r="A37" s="64"/>
      <c r="B37" s="65"/>
      <c r="C37" s="65"/>
      <c r="D37" s="132"/>
      <c r="E37" s="132"/>
      <c r="F37" s="132"/>
      <c r="G37" s="133"/>
      <c r="H37" s="132"/>
      <c r="I37" s="132"/>
      <c r="J37" s="132"/>
      <c r="K37" s="132"/>
      <c r="L37" s="135"/>
      <c r="M37" s="134"/>
      <c r="N37" s="134"/>
      <c r="O37" s="135"/>
    </row>
    <row r="38" spans="1:15">
      <c r="A38" s="64"/>
      <c r="B38" s="65"/>
      <c r="C38" s="65"/>
      <c r="D38" s="132"/>
      <c r="E38" s="132"/>
      <c r="F38" s="132"/>
      <c r="G38" s="133"/>
      <c r="H38" s="132"/>
      <c r="I38" s="132"/>
      <c r="J38" s="132"/>
      <c r="K38" s="132"/>
      <c r="L38" s="135"/>
      <c r="M38" s="134"/>
      <c r="N38" s="134"/>
      <c r="O38" s="135"/>
    </row>
    <row r="39" spans="1:15">
      <c r="A39" s="64"/>
      <c r="B39" s="65"/>
      <c r="C39" s="65"/>
      <c r="D39" s="132"/>
      <c r="E39" s="132"/>
      <c r="F39" s="132"/>
      <c r="G39" s="133"/>
      <c r="H39" s="132"/>
      <c r="I39" s="132"/>
      <c r="J39" s="132"/>
      <c r="K39" s="132"/>
      <c r="L39" s="135"/>
      <c r="M39" s="134"/>
      <c r="N39" s="134"/>
      <c r="O39" s="135"/>
    </row>
    <row r="40" spans="1:15">
      <c r="A40" s="64"/>
      <c r="B40" s="65"/>
      <c r="C40" s="65"/>
      <c r="D40" s="132"/>
      <c r="E40" s="132"/>
      <c r="F40" s="132"/>
      <c r="G40" s="133"/>
      <c r="H40" s="132"/>
      <c r="I40" s="132"/>
      <c r="J40" s="132"/>
      <c r="K40" s="132"/>
      <c r="L40" s="135"/>
      <c r="M40" s="134"/>
      <c r="N40" s="134"/>
      <c r="O40" s="135"/>
    </row>
    <row r="41" spans="1:15">
      <c r="A41" s="64"/>
      <c r="B41" s="65"/>
      <c r="C41" s="65"/>
      <c r="D41" s="132"/>
      <c r="E41" s="132"/>
      <c r="F41" s="132"/>
      <c r="G41" s="133"/>
      <c r="H41" s="132"/>
      <c r="I41" s="132"/>
      <c r="J41" s="132"/>
      <c r="K41" s="132"/>
      <c r="L41" s="135"/>
      <c r="M41" s="134"/>
      <c r="N41" s="134"/>
      <c r="O41" s="135"/>
    </row>
    <row r="42" spans="1:15">
      <c r="A42" s="64"/>
      <c r="B42" s="65"/>
      <c r="C42" s="65"/>
      <c r="D42" s="132"/>
      <c r="E42" s="132"/>
      <c r="F42" s="132"/>
      <c r="G42" s="133"/>
      <c r="H42" s="132"/>
      <c r="I42" s="132"/>
      <c r="J42" s="132"/>
      <c r="K42" s="132"/>
      <c r="L42" s="135"/>
      <c r="M42" s="134"/>
      <c r="N42" s="134"/>
      <c r="O42" s="135"/>
    </row>
    <row r="43" spans="1:15">
      <c r="A43" s="64"/>
      <c r="B43" s="65"/>
      <c r="C43" s="65"/>
      <c r="D43" s="132"/>
      <c r="E43" s="132"/>
      <c r="F43" s="132"/>
      <c r="G43" s="133"/>
      <c r="H43" s="132"/>
      <c r="I43" s="132"/>
      <c r="J43" s="132"/>
      <c r="K43" s="132"/>
      <c r="L43" s="135"/>
      <c r="M43" s="134"/>
      <c r="N43" s="134"/>
      <c r="O43" s="135"/>
    </row>
    <row r="44" spans="1:15">
      <c r="A44" s="64"/>
      <c r="B44" s="65"/>
      <c r="C44" s="65"/>
      <c r="D44" s="132"/>
      <c r="E44" s="132"/>
      <c r="F44" s="132"/>
      <c r="G44" s="133"/>
      <c r="H44" s="132"/>
      <c r="I44" s="132"/>
      <c r="J44" s="132"/>
      <c r="K44" s="132"/>
      <c r="L44" s="135"/>
      <c r="M44" s="134"/>
      <c r="N44" s="134"/>
      <c r="O44" s="135"/>
    </row>
    <row r="45" spans="1:15">
      <c r="A45" s="25" t="s">
        <v>76</v>
      </c>
      <c r="B45" s="7" t="s">
        <v>1</v>
      </c>
      <c r="C45" s="7" t="s">
        <v>284</v>
      </c>
      <c r="D45" s="27" t="s">
        <v>0</v>
      </c>
      <c r="E45" s="27" t="s">
        <v>3</v>
      </c>
      <c r="F45" s="27" t="s">
        <v>4</v>
      </c>
      <c r="G45" s="28" t="s">
        <v>5</v>
      </c>
      <c r="H45" s="27" t="s">
        <v>6</v>
      </c>
      <c r="I45" s="27" t="s">
        <v>7</v>
      </c>
      <c r="J45" s="27" t="s">
        <v>8</v>
      </c>
      <c r="K45" s="27" t="s">
        <v>451</v>
      </c>
      <c r="L45" s="29" t="s">
        <v>393</v>
      </c>
      <c r="M45" s="73" t="s">
        <v>394</v>
      </c>
      <c r="N45" s="73" t="s">
        <v>395</v>
      </c>
      <c r="O45" s="29" t="s">
        <v>9</v>
      </c>
    </row>
    <row r="46" spans="1:15">
      <c r="A46" s="25" t="s">
        <v>83</v>
      </c>
      <c r="B46" s="7" t="s">
        <v>28</v>
      </c>
      <c r="C46" s="6" t="s">
        <v>63</v>
      </c>
      <c r="D46" s="8" t="str">
        <f>"PO1508060065"</f>
        <v>PO1508060065</v>
      </c>
      <c r="E46" s="8" t="str">
        <f>"9787122044051"</f>
        <v>9787122044051</v>
      </c>
      <c r="F46" s="21" t="s">
        <v>175</v>
      </c>
      <c r="G46" s="8" t="s">
        <v>127</v>
      </c>
      <c r="H46" s="9" t="s">
        <v>174</v>
      </c>
      <c r="I46" s="8" t="s">
        <v>173</v>
      </c>
      <c r="J46" s="10">
        <v>25</v>
      </c>
      <c r="K46" s="10">
        <f t="shared" ref="K46:K51" si="2">J46*0.8</f>
        <v>20</v>
      </c>
      <c r="L46" s="12">
        <v>32</v>
      </c>
      <c r="M46" s="74">
        <f t="shared" ref="M46:M53" si="3">J46*L46</f>
        <v>800</v>
      </c>
      <c r="N46" s="74">
        <f t="shared" ref="N46:N51" si="4">M46*0.8</f>
        <v>640</v>
      </c>
      <c r="O46" s="12">
        <v>80</v>
      </c>
    </row>
    <row r="47" spans="1:15">
      <c r="A47" s="25" t="s">
        <v>83</v>
      </c>
      <c r="B47" s="7" t="s">
        <v>28</v>
      </c>
      <c r="C47" s="6" t="s">
        <v>63</v>
      </c>
      <c r="D47" s="8" t="str">
        <f>"PO1508060065"</f>
        <v>PO1508060065</v>
      </c>
      <c r="E47" s="8" t="str">
        <f>"9787122025708"</f>
        <v>9787122025708</v>
      </c>
      <c r="F47" s="21" t="s">
        <v>172</v>
      </c>
      <c r="G47" s="8" t="s">
        <v>127</v>
      </c>
      <c r="H47" s="9" t="s">
        <v>171</v>
      </c>
      <c r="I47" s="8" t="s">
        <v>170</v>
      </c>
      <c r="J47" s="10">
        <v>28</v>
      </c>
      <c r="K47" s="10">
        <f t="shared" si="2"/>
        <v>22.400000000000002</v>
      </c>
      <c r="L47" s="12">
        <v>32</v>
      </c>
      <c r="M47" s="74">
        <f t="shared" si="3"/>
        <v>896</v>
      </c>
      <c r="N47" s="74">
        <f t="shared" si="4"/>
        <v>716.80000000000007</v>
      </c>
      <c r="O47" s="12">
        <v>80</v>
      </c>
    </row>
    <row r="48" spans="1:15">
      <c r="A48" s="25" t="s">
        <v>83</v>
      </c>
      <c r="B48" s="7" t="s">
        <v>28</v>
      </c>
      <c r="C48" s="6" t="s">
        <v>63</v>
      </c>
      <c r="D48" s="8" t="str">
        <f>"PO1508060065"</f>
        <v>PO1508060065</v>
      </c>
      <c r="E48" s="8" t="str">
        <f>"9787511422125"</f>
        <v>9787511422125</v>
      </c>
      <c r="F48" s="21" t="s">
        <v>100</v>
      </c>
      <c r="G48" s="8" t="s">
        <v>99</v>
      </c>
      <c r="H48" s="9" t="s">
        <v>98</v>
      </c>
      <c r="I48" s="8" t="s">
        <v>97</v>
      </c>
      <c r="J48" s="10">
        <v>30</v>
      </c>
      <c r="K48" s="10">
        <f t="shared" si="2"/>
        <v>24</v>
      </c>
      <c r="L48" s="12">
        <v>32</v>
      </c>
      <c r="M48" s="74">
        <f t="shared" si="3"/>
        <v>960</v>
      </c>
      <c r="N48" s="74">
        <f t="shared" si="4"/>
        <v>768</v>
      </c>
      <c r="O48" s="12">
        <v>80</v>
      </c>
    </row>
    <row r="49" spans="1:15">
      <c r="A49" s="25" t="s">
        <v>83</v>
      </c>
      <c r="B49" s="7" t="s">
        <v>28</v>
      </c>
      <c r="C49" s="6" t="s">
        <v>63</v>
      </c>
      <c r="D49" s="8" t="str">
        <f>"PO1508060065"</f>
        <v>PO1508060065</v>
      </c>
      <c r="E49" s="8" t="str">
        <f>"9787561529300"</f>
        <v>9787561529300</v>
      </c>
      <c r="F49" s="21" t="s">
        <v>165</v>
      </c>
      <c r="G49" s="8" t="s">
        <v>164</v>
      </c>
      <c r="H49" s="9" t="s">
        <v>163</v>
      </c>
      <c r="I49" s="8" t="s">
        <v>162</v>
      </c>
      <c r="J49" s="10">
        <v>30</v>
      </c>
      <c r="K49" s="10">
        <f t="shared" si="2"/>
        <v>24</v>
      </c>
      <c r="L49" s="12">
        <v>32</v>
      </c>
      <c r="M49" s="74">
        <f t="shared" si="3"/>
        <v>960</v>
      </c>
      <c r="N49" s="74">
        <f t="shared" si="4"/>
        <v>768</v>
      </c>
      <c r="O49" s="12">
        <v>80</v>
      </c>
    </row>
    <row r="50" spans="1:15">
      <c r="A50" s="25" t="s">
        <v>83</v>
      </c>
      <c r="B50" s="7" t="s">
        <v>28</v>
      </c>
      <c r="C50" s="6" t="s">
        <v>63</v>
      </c>
      <c r="D50" s="8" t="str">
        <f>"PO1508180117"</f>
        <v>PO1508180117</v>
      </c>
      <c r="E50" s="8" t="str">
        <f>"9787501977154"</f>
        <v>9787501977154</v>
      </c>
      <c r="F50" s="21" t="s">
        <v>108</v>
      </c>
      <c r="G50" s="8" t="s">
        <v>107</v>
      </c>
      <c r="H50" s="9" t="s">
        <v>106</v>
      </c>
      <c r="I50" s="8" t="s">
        <v>105</v>
      </c>
      <c r="J50" s="10">
        <v>39</v>
      </c>
      <c r="K50" s="10">
        <f t="shared" si="2"/>
        <v>31.200000000000003</v>
      </c>
      <c r="L50" s="12">
        <v>32</v>
      </c>
      <c r="M50" s="74">
        <f t="shared" si="3"/>
        <v>1248</v>
      </c>
      <c r="N50" s="74">
        <f t="shared" si="4"/>
        <v>998.40000000000009</v>
      </c>
      <c r="O50" s="12">
        <v>80</v>
      </c>
    </row>
    <row r="51" spans="1:15">
      <c r="A51" s="25" t="s">
        <v>75</v>
      </c>
      <c r="B51" s="7" t="s">
        <v>28</v>
      </c>
      <c r="C51" s="6" t="s">
        <v>63</v>
      </c>
      <c r="D51" s="8" t="str">
        <f>"PO1509140002"</f>
        <v>PO1509140002</v>
      </c>
      <c r="E51" s="8" t="str">
        <f>"9787122243409"</f>
        <v>9787122243409</v>
      </c>
      <c r="F51" s="21" t="s">
        <v>291</v>
      </c>
      <c r="G51" s="8" t="s">
        <v>127</v>
      </c>
      <c r="H51" s="9" t="s">
        <v>292</v>
      </c>
      <c r="I51" s="8" t="s">
        <v>293</v>
      </c>
      <c r="J51" s="10">
        <v>35</v>
      </c>
      <c r="K51" s="10">
        <f t="shared" si="2"/>
        <v>28</v>
      </c>
      <c r="L51" s="12">
        <v>32</v>
      </c>
      <c r="M51" s="74">
        <f t="shared" si="3"/>
        <v>1120</v>
      </c>
      <c r="N51" s="74">
        <f t="shared" si="4"/>
        <v>896</v>
      </c>
      <c r="O51" s="12">
        <v>80</v>
      </c>
    </row>
    <row r="52" spans="1:15">
      <c r="A52" s="25" t="s">
        <v>75</v>
      </c>
      <c r="B52" s="7" t="s">
        <v>28</v>
      </c>
      <c r="C52" s="6" t="s">
        <v>63</v>
      </c>
      <c r="D52" s="4" t="s">
        <v>377</v>
      </c>
      <c r="E52" s="4" t="s">
        <v>376</v>
      </c>
      <c r="F52" s="33" t="s">
        <v>386</v>
      </c>
      <c r="G52" s="4" t="s">
        <v>376</v>
      </c>
      <c r="H52" s="4" t="s">
        <v>375</v>
      </c>
      <c r="I52" s="4" t="s">
        <v>376</v>
      </c>
      <c r="J52" s="30">
        <v>5</v>
      </c>
      <c r="K52" s="30">
        <f>J52*1</f>
        <v>5</v>
      </c>
      <c r="L52" s="12">
        <v>32</v>
      </c>
      <c r="M52" s="74">
        <f t="shared" si="3"/>
        <v>160</v>
      </c>
      <c r="N52" s="74">
        <f>M52*1</f>
        <v>160</v>
      </c>
      <c r="O52" s="12">
        <v>100</v>
      </c>
    </row>
    <row r="53" spans="1:15">
      <c r="A53" s="25" t="s">
        <v>75</v>
      </c>
      <c r="B53" s="7" t="s">
        <v>28</v>
      </c>
      <c r="C53" s="6" t="s">
        <v>63</v>
      </c>
      <c r="D53" s="4" t="s">
        <v>377</v>
      </c>
      <c r="E53" s="4" t="s">
        <v>376</v>
      </c>
      <c r="F53" s="45" t="s">
        <v>432</v>
      </c>
      <c r="G53" s="4" t="s">
        <v>377</v>
      </c>
      <c r="H53" s="4" t="s">
        <v>376</v>
      </c>
      <c r="I53" s="4" t="s">
        <v>377</v>
      </c>
      <c r="J53" s="30">
        <v>3.6</v>
      </c>
      <c r="K53" s="30">
        <f>J53*1</f>
        <v>3.6</v>
      </c>
      <c r="L53" s="12">
        <v>32</v>
      </c>
      <c r="M53" s="74">
        <f t="shared" si="3"/>
        <v>115.2</v>
      </c>
      <c r="N53" s="74">
        <f>M53*1</f>
        <v>115.2</v>
      </c>
      <c r="O53" s="12">
        <v>100</v>
      </c>
    </row>
    <row r="54" spans="1:15">
      <c r="A54" s="152" t="s">
        <v>452</v>
      </c>
      <c r="B54" s="153"/>
      <c r="C54" s="153"/>
      <c r="D54" s="153"/>
      <c r="E54" s="153"/>
      <c r="F54" s="153"/>
      <c r="G54" s="153"/>
      <c r="H54" s="153"/>
      <c r="I54" s="154"/>
      <c r="J54" s="108">
        <f>SUM(J46:J53)</f>
        <v>195.6</v>
      </c>
      <c r="K54" s="108">
        <f>SUM(K46:K53)</f>
        <v>158.20000000000002</v>
      </c>
      <c r="L54" s="142">
        <f>SUM(L46:L53)</f>
        <v>256</v>
      </c>
      <c r="M54" s="108">
        <f>SUM(M46:M53)</f>
        <v>6259.2</v>
      </c>
      <c r="N54" s="108">
        <f>SUM(N46:N53)</f>
        <v>5062.4000000000005</v>
      </c>
      <c r="O54" s="54"/>
    </row>
    <row r="55" spans="1:15" ht="14.25">
      <c r="A55" s="88" t="s">
        <v>444</v>
      </c>
      <c r="B55" s="65"/>
      <c r="C55" s="129"/>
      <c r="D55" s="109"/>
      <c r="E55" s="109"/>
      <c r="F55" s="136"/>
      <c r="G55" s="109"/>
      <c r="H55" s="109"/>
      <c r="I55" s="109"/>
      <c r="J55" s="111"/>
      <c r="K55" s="111"/>
      <c r="L55" s="72"/>
      <c r="M55" s="75"/>
      <c r="N55" s="75"/>
      <c r="O55" s="72"/>
    </row>
    <row r="56" spans="1:15" ht="14.25">
      <c r="A56" s="88" t="s">
        <v>443</v>
      </c>
      <c r="B56" s="65"/>
      <c r="C56" s="129"/>
      <c r="D56" s="109"/>
      <c r="E56" s="109"/>
      <c r="F56" s="136"/>
      <c r="G56" s="109"/>
      <c r="H56" s="109"/>
      <c r="I56" s="109"/>
      <c r="J56" s="111"/>
      <c r="K56" s="111"/>
      <c r="L56" s="72"/>
      <c r="M56" s="75"/>
      <c r="N56" s="75"/>
      <c r="O56" s="72"/>
    </row>
    <row r="57" spans="1:15">
      <c r="A57" s="64"/>
      <c r="B57" s="65"/>
      <c r="C57" s="129"/>
      <c r="D57" s="109"/>
      <c r="E57" s="109"/>
      <c r="F57" s="136"/>
      <c r="G57" s="109"/>
      <c r="H57" s="109"/>
      <c r="I57" s="109"/>
      <c r="J57" s="111"/>
      <c r="K57" s="111"/>
      <c r="L57" s="72"/>
      <c r="M57" s="75"/>
      <c r="N57" s="75"/>
      <c r="O57" s="72"/>
    </row>
    <row r="58" spans="1:15">
      <c r="A58" s="64"/>
      <c r="B58" s="65"/>
      <c r="C58" s="129"/>
      <c r="D58" s="109"/>
      <c r="E58" s="109"/>
      <c r="F58" s="136"/>
      <c r="G58" s="109"/>
      <c r="H58" s="109"/>
      <c r="I58" s="109"/>
      <c r="J58" s="111"/>
      <c r="K58" s="111"/>
      <c r="L58" s="72"/>
      <c r="M58" s="75"/>
      <c r="N58" s="75"/>
      <c r="O58" s="72"/>
    </row>
    <row r="59" spans="1:15">
      <c r="A59" s="64"/>
      <c r="B59" s="65"/>
      <c r="C59" s="129"/>
      <c r="D59" s="109"/>
      <c r="E59" s="109"/>
      <c r="F59" s="136"/>
      <c r="G59" s="109"/>
      <c r="H59" s="109"/>
      <c r="I59" s="109"/>
      <c r="J59" s="111"/>
      <c r="K59" s="111"/>
      <c r="L59" s="72"/>
      <c r="M59" s="75"/>
      <c r="N59" s="75"/>
      <c r="O59" s="72"/>
    </row>
    <row r="60" spans="1:15">
      <c r="A60" s="64"/>
      <c r="B60" s="65"/>
      <c r="C60" s="129"/>
      <c r="D60" s="109"/>
      <c r="E60" s="109"/>
      <c r="F60" s="136"/>
      <c r="G60" s="109"/>
      <c r="H60" s="109"/>
      <c r="I60" s="109"/>
      <c r="J60" s="111"/>
      <c r="K60" s="111"/>
      <c r="L60" s="72"/>
      <c r="M60" s="75"/>
      <c r="N60" s="75"/>
      <c r="O60" s="72"/>
    </row>
    <row r="61" spans="1:15">
      <c r="A61" s="64"/>
      <c r="B61" s="65"/>
      <c r="C61" s="129"/>
      <c r="D61" s="109"/>
      <c r="E61" s="109"/>
      <c r="F61" s="136"/>
      <c r="G61" s="109"/>
      <c r="H61" s="109"/>
      <c r="I61" s="109"/>
      <c r="J61" s="111"/>
      <c r="K61" s="111"/>
      <c r="L61" s="72"/>
      <c r="M61" s="75"/>
      <c r="N61" s="75"/>
      <c r="O61" s="72"/>
    </row>
    <row r="62" spans="1:15">
      <c r="A62" s="64"/>
      <c r="B62" s="65"/>
      <c r="C62" s="129"/>
      <c r="D62" s="109"/>
      <c r="E62" s="109"/>
      <c r="F62" s="136"/>
      <c r="G62" s="109"/>
      <c r="H62" s="109"/>
      <c r="I62" s="109"/>
      <c r="J62" s="111"/>
      <c r="K62" s="111"/>
      <c r="L62" s="72"/>
      <c r="M62" s="75"/>
      <c r="N62" s="75"/>
      <c r="O62" s="72"/>
    </row>
    <row r="63" spans="1:15">
      <c r="A63" s="64"/>
      <c r="B63" s="65"/>
      <c r="C63" s="129"/>
      <c r="D63" s="109"/>
      <c r="E63" s="109"/>
      <c r="F63" s="136"/>
      <c r="G63" s="109"/>
      <c r="H63" s="109"/>
      <c r="I63" s="109"/>
      <c r="J63" s="111"/>
      <c r="K63" s="111"/>
      <c r="L63" s="72"/>
      <c r="M63" s="75"/>
      <c r="N63" s="75"/>
      <c r="O63" s="72"/>
    </row>
    <row r="64" spans="1:15">
      <c r="A64" s="64"/>
      <c r="B64" s="65"/>
      <c r="C64" s="129"/>
      <c r="D64" s="109"/>
      <c r="E64" s="109"/>
      <c r="F64" s="136"/>
      <c r="G64" s="109"/>
      <c r="H64" s="109"/>
      <c r="I64" s="109"/>
      <c r="J64" s="111"/>
      <c r="K64" s="111"/>
      <c r="L64" s="72"/>
      <c r="M64" s="75"/>
      <c r="N64" s="75"/>
      <c r="O64" s="72"/>
    </row>
    <row r="65" spans="1:15">
      <c r="A65" s="25" t="s">
        <v>76</v>
      </c>
      <c r="B65" s="7" t="s">
        <v>1</v>
      </c>
      <c r="C65" s="7" t="s">
        <v>284</v>
      </c>
      <c r="D65" s="27" t="s">
        <v>0</v>
      </c>
      <c r="E65" s="27" t="s">
        <v>3</v>
      </c>
      <c r="F65" s="27" t="s">
        <v>4</v>
      </c>
      <c r="G65" s="28" t="s">
        <v>5</v>
      </c>
      <c r="H65" s="27" t="s">
        <v>6</v>
      </c>
      <c r="I65" s="27" t="s">
        <v>7</v>
      </c>
      <c r="J65" s="27" t="s">
        <v>8</v>
      </c>
      <c r="K65" s="27" t="s">
        <v>451</v>
      </c>
      <c r="L65" s="29" t="s">
        <v>393</v>
      </c>
      <c r="M65" s="73" t="s">
        <v>394</v>
      </c>
      <c r="N65" s="73" t="s">
        <v>395</v>
      </c>
      <c r="O65" s="29" t="s">
        <v>9</v>
      </c>
    </row>
    <row r="66" spans="1:15">
      <c r="A66" s="25" t="s">
        <v>83</v>
      </c>
      <c r="B66" s="7" t="s">
        <v>17</v>
      </c>
      <c r="C66" s="6" t="s">
        <v>64</v>
      </c>
      <c r="D66" s="8" t="str">
        <f>"PO1508060066"</f>
        <v>PO1508060066</v>
      </c>
      <c r="E66" s="8" t="str">
        <f>"9787122044051"</f>
        <v>9787122044051</v>
      </c>
      <c r="F66" s="21" t="s">
        <v>175</v>
      </c>
      <c r="G66" s="8" t="s">
        <v>127</v>
      </c>
      <c r="H66" s="9" t="s">
        <v>174</v>
      </c>
      <c r="I66" s="8" t="s">
        <v>173</v>
      </c>
      <c r="J66" s="10">
        <v>25</v>
      </c>
      <c r="K66" s="10">
        <f t="shared" ref="K66:K71" si="5">J66*0.8</f>
        <v>20</v>
      </c>
      <c r="L66" s="12">
        <v>30</v>
      </c>
      <c r="M66" s="74">
        <f t="shared" ref="M66:M73" si="6">J66*L66</f>
        <v>750</v>
      </c>
      <c r="N66" s="74">
        <f t="shared" ref="N66:N71" si="7">M66*0.8</f>
        <v>600</v>
      </c>
      <c r="O66" s="12">
        <v>80</v>
      </c>
    </row>
    <row r="67" spans="1:15">
      <c r="A67" s="25" t="s">
        <v>83</v>
      </c>
      <c r="B67" s="7" t="s">
        <v>17</v>
      </c>
      <c r="C67" s="6" t="s">
        <v>64</v>
      </c>
      <c r="D67" s="8" t="str">
        <f>"PO1508060066"</f>
        <v>PO1508060066</v>
      </c>
      <c r="E67" s="8" t="str">
        <f>"9787122025708"</f>
        <v>9787122025708</v>
      </c>
      <c r="F67" s="21" t="s">
        <v>172</v>
      </c>
      <c r="G67" s="8" t="s">
        <v>127</v>
      </c>
      <c r="H67" s="9" t="s">
        <v>171</v>
      </c>
      <c r="I67" s="8" t="s">
        <v>170</v>
      </c>
      <c r="J67" s="10">
        <v>28</v>
      </c>
      <c r="K67" s="10">
        <f t="shared" si="5"/>
        <v>22.400000000000002</v>
      </c>
      <c r="L67" s="12">
        <v>30</v>
      </c>
      <c r="M67" s="74">
        <f t="shared" si="6"/>
        <v>840</v>
      </c>
      <c r="N67" s="74">
        <f t="shared" si="7"/>
        <v>672</v>
      </c>
      <c r="O67" s="12">
        <v>80</v>
      </c>
    </row>
    <row r="68" spans="1:15">
      <c r="A68" s="25" t="s">
        <v>83</v>
      </c>
      <c r="B68" s="7" t="s">
        <v>17</v>
      </c>
      <c r="C68" s="6" t="s">
        <v>64</v>
      </c>
      <c r="D68" s="8" t="str">
        <f>"PO1508060066"</f>
        <v>PO1508060066</v>
      </c>
      <c r="E68" s="8" t="str">
        <f>"9787511422125"</f>
        <v>9787511422125</v>
      </c>
      <c r="F68" s="21" t="s">
        <v>100</v>
      </c>
      <c r="G68" s="8" t="s">
        <v>99</v>
      </c>
      <c r="H68" s="9" t="s">
        <v>98</v>
      </c>
      <c r="I68" s="8" t="s">
        <v>97</v>
      </c>
      <c r="J68" s="10">
        <v>30</v>
      </c>
      <c r="K68" s="10">
        <f t="shared" si="5"/>
        <v>24</v>
      </c>
      <c r="L68" s="12">
        <v>30</v>
      </c>
      <c r="M68" s="74">
        <f t="shared" si="6"/>
        <v>900</v>
      </c>
      <c r="N68" s="74">
        <f t="shared" si="7"/>
        <v>720</v>
      </c>
      <c r="O68" s="12">
        <v>80</v>
      </c>
    </row>
    <row r="69" spans="1:15">
      <c r="A69" s="25" t="s">
        <v>83</v>
      </c>
      <c r="B69" s="7" t="s">
        <v>17</v>
      </c>
      <c r="C69" s="6" t="s">
        <v>64</v>
      </c>
      <c r="D69" s="8" t="str">
        <f>"PO1508060066"</f>
        <v>PO1508060066</v>
      </c>
      <c r="E69" s="8" t="str">
        <f>"9787561529300"</f>
        <v>9787561529300</v>
      </c>
      <c r="F69" s="21" t="s">
        <v>165</v>
      </c>
      <c r="G69" s="8" t="s">
        <v>164</v>
      </c>
      <c r="H69" s="9" t="s">
        <v>163</v>
      </c>
      <c r="I69" s="8" t="s">
        <v>162</v>
      </c>
      <c r="J69" s="10">
        <v>30</v>
      </c>
      <c r="K69" s="10">
        <f t="shared" si="5"/>
        <v>24</v>
      </c>
      <c r="L69" s="12">
        <v>30</v>
      </c>
      <c r="M69" s="74">
        <f t="shared" si="6"/>
        <v>900</v>
      </c>
      <c r="N69" s="74">
        <f t="shared" si="7"/>
        <v>720</v>
      </c>
      <c r="O69" s="12">
        <v>80</v>
      </c>
    </row>
    <row r="70" spans="1:15">
      <c r="A70" s="25" t="s">
        <v>83</v>
      </c>
      <c r="B70" s="7" t="s">
        <v>17</v>
      </c>
      <c r="C70" s="6" t="s">
        <v>64</v>
      </c>
      <c r="D70" s="8" t="str">
        <f>"PO1508180118"</f>
        <v>PO1508180118</v>
      </c>
      <c r="E70" s="8" t="str">
        <f>"9787501977154"</f>
        <v>9787501977154</v>
      </c>
      <c r="F70" s="21" t="s">
        <v>108</v>
      </c>
      <c r="G70" s="8" t="s">
        <v>107</v>
      </c>
      <c r="H70" s="9" t="s">
        <v>106</v>
      </c>
      <c r="I70" s="8" t="s">
        <v>105</v>
      </c>
      <c r="J70" s="10">
        <v>39</v>
      </c>
      <c r="K70" s="10">
        <f t="shared" si="5"/>
        <v>31.200000000000003</v>
      </c>
      <c r="L70" s="12">
        <v>30</v>
      </c>
      <c r="M70" s="74">
        <f t="shared" si="6"/>
        <v>1170</v>
      </c>
      <c r="N70" s="74">
        <f t="shared" si="7"/>
        <v>936</v>
      </c>
      <c r="O70" s="12">
        <v>80</v>
      </c>
    </row>
    <row r="71" spans="1:15">
      <c r="A71" s="25" t="s">
        <v>75</v>
      </c>
      <c r="B71" s="7" t="s">
        <v>17</v>
      </c>
      <c r="C71" s="6" t="s">
        <v>64</v>
      </c>
      <c r="D71" s="8" t="str">
        <f>"PO1509140003"</f>
        <v>PO1509140003</v>
      </c>
      <c r="E71" s="8" t="str">
        <f>"9787122243409"</f>
        <v>9787122243409</v>
      </c>
      <c r="F71" s="21" t="s">
        <v>291</v>
      </c>
      <c r="G71" s="8" t="s">
        <v>127</v>
      </c>
      <c r="H71" s="9" t="s">
        <v>292</v>
      </c>
      <c r="I71" s="8" t="s">
        <v>293</v>
      </c>
      <c r="J71" s="10">
        <v>35</v>
      </c>
      <c r="K71" s="10">
        <f t="shared" si="5"/>
        <v>28</v>
      </c>
      <c r="L71" s="12">
        <v>30</v>
      </c>
      <c r="M71" s="74">
        <f t="shared" si="6"/>
        <v>1050</v>
      </c>
      <c r="N71" s="74">
        <f t="shared" si="7"/>
        <v>840</v>
      </c>
      <c r="O71" s="12">
        <v>80</v>
      </c>
    </row>
    <row r="72" spans="1:15">
      <c r="A72" s="25" t="s">
        <v>75</v>
      </c>
      <c r="B72" s="7" t="s">
        <v>17</v>
      </c>
      <c r="C72" s="6" t="s">
        <v>64</v>
      </c>
      <c r="D72" s="4" t="s">
        <v>377</v>
      </c>
      <c r="E72" s="4" t="s">
        <v>376</v>
      </c>
      <c r="F72" s="33" t="s">
        <v>386</v>
      </c>
      <c r="G72" s="4" t="s">
        <v>376</v>
      </c>
      <c r="H72" s="4" t="s">
        <v>375</v>
      </c>
      <c r="I72" s="4" t="s">
        <v>376</v>
      </c>
      <c r="J72" s="30">
        <v>5</v>
      </c>
      <c r="K72" s="30">
        <f>J72*1</f>
        <v>5</v>
      </c>
      <c r="L72" s="12">
        <v>17</v>
      </c>
      <c r="M72" s="74">
        <f t="shared" si="6"/>
        <v>85</v>
      </c>
      <c r="N72" s="74">
        <f>M72*1</f>
        <v>85</v>
      </c>
      <c r="O72" s="12">
        <v>100</v>
      </c>
    </row>
    <row r="73" spans="1:15">
      <c r="A73" s="25" t="s">
        <v>75</v>
      </c>
      <c r="B73" s="7" t="s">
        <v>17</v>
      </c>
      <c r="C73" s="6" t="s">
        <v>64</v>
      </c>
      <c r="D73" s="4" t="s">
        <v>377</v>
      </c>
      <c r="E73" s="4" t="s">
        <v>376</v>
      </c>
      <c r="F73" s="46" t="s">
        <v>433</v>
      </c>
      <c r="G73" s="4" t="s">
        <v>377</v>
      </c>
      <c r="H73" s="4" t="s">
        <v>376</v>
      </c>
      <c r="I73" s="4" t="s">
        <v>377</v>
      </c>
      <c r="J73" s="30">
        <v>3.6</v>
      </c>
      <c r="K73" s="30">
        <f>J73*1</f>
        <v>3.6</v>
      </c>
      <c r="L73" s="12">
        <v>30</v>
      </c>
      <c r="M73" s="74">
        <f t="shared" si="6"/>
        <v>108</v>
      </c>
      <c r="N73" s="74">
        <f>M73*1</f>
        <v>108</v>
      </c>
      <c r="O73" s="12">
        <v>100</v>
      </c>
    </row>
    <row r="74" spans="1:15">
      <c r="A74" s="152" t="s">
        <v>452</v>
      </c>
      <c r="B74" s="153"/>
      <c r="C74" s="153"/>
      <c r="D74" s="153"/>
      <c r="E74" s="153"/>
      <c r="F74" s="153"/>
      <c r="G74" s="153"/>
      <c r="H74" s="153"/>
      <c r="I74" s="154"/>
      <c r="J74" s="108">
        <f>SUM(J66:J73)</f>
        <v>195.6</v>
      </c>
      <c r="K74" s="108">
        <f>SUM(K66:K73)</f>
        <v>158.20000000000002</v>
      </c>
      <c r="L74" s="142">
        <f>SUM(L66:L73)</f>
        <v>227</v>
      </c>
      <c r="M74" s="108">
        <f>SUM(M66:M73)</f>
        <v>5803</v>
      </c>
      <c r="N74" s="108">
        <f>SUM(N66:N73)</f>
        <v>4681</v>
      </c>
      <c r="O74" s="54"/>
    </row>
    <row r="75" spans="1:15" ht="14.25">
      <c r="A75" s="88" t="s">
        <v>444</v>
      </c>
      <c r="B75" s="65"/>
      <c r="C75" s="129"/>
      <c r="D75" s="109"/>
      <c r="E75" s="109"/>
      <c r="F75" s="130"/>
      <c r="G75" s="109"/>
      <c r="H75" s="109"/>
      <c r="I75" s="109"/>
      <c r="J75" s="111"/>
      <c r="K75" s="111"/>
      <c r="L75" s="72"/>
      <c r="M75" s="75"/>
      <c r="N75" s="75"/>
      <c r="O75" s="72"/>
    </row>
    <row r="76" spans="1:15" ht="14.25">
      <c r="A76" s="88" t="s">
        <v>443</v>
      </c>
      <c r="B76" s="65"/>
      <c r="C76" s="129"/>
      <c r="D76" s="109"/>
      <c r="E76" s="109"/>
      <c r="F76" s="130"/>
      <c r="G76" s="109"/>
      <c r="H76" s="109"/>
      <c r="I76" s="109"/>
      <c r="J76" s="111"/>
      <c r="K76" s="111"/>
      <c r="L76" s="72"/>
      <c r="M76" s="75"/>
      <c r="N76" s="75"/>
      <c r="O76" s="72"/>
    </row>
    <row r="77" spans="1:15">
      <c r="A77" s="64"/>
      <c r="B77" s="65"/>
      <c r="C77" s="129"/>
      <c r="D77" s="109"/>
      <c r="E77" s="109"/>
      <c r="F77" s="130"/>
      <c r="G77" s="109"/>
      <c r="H77" s="109"/>
      <c r="I77" s="109"/>
      <c r="J77" s="111"/>
      <c r="K77" s="111"/>
      <c r="L77" s="72"/>
      <c r="M77" s="75"/>
      <c r="N77" s="75"/>
      <c r="O77" s="72"/>
    </row>
    <row r="78" spans="1:15">
      <c r="A78" s="64"/>
      <c r="B78" s="65"/>
      <c r="C78" s="129"/>
      <c r="D78" s="109"/>
      <c r="E78" s="109"/>
      <c r="F78" s="130"/>
      <c r="G78" s="109"/>
      <c r="H78" s="109"/>
      <c r="I78" s="109"/>
      <c r="J78" s="111"/>
      <c r="K78" s="111"/>
      <c r="L78" s="72"/>
      <c r="M78" s="75"/>
      <c r="N78" s="75"/>
      <c r="O78" s="72"/>
    </row>
    <row r="79" spans="1:15">
      <c r="A79" s="64"/>
      <c r="B79" s="65"/>
      <c r="C79" s="129"/>
      <c r="D79" s="109"/>
      <c r="E79" s="109"/>
      <c r="F79" s="130"/>
      <c r="G79" s="109"/>
      <c r="H79" s="109"/>
      <c r="I79" s="109"/>
      <c r="J79" s="111"/>
      <c r="K79" s="111"/>
      <c r="L79" s="72"/>
      <c r="M79" s="75"/>
      <c r="N79" s="75"/>
      <c r="O79" s="72"/>
    </row>
    <row r="80" spans="1:15">
      <c r="A80" s="64"/>
      <c r="B80" s="65"/>
      <c r="C80" s="129"/>
      <c r="D80" s="109"/>
      <c r="E80" s="109"/>
      <c r="F80" s="130"/>
      <c r="G80" s="109"/>
      <c r="H80" s="109"/>
      <c r="I80" s="109"/>
      <c r="J80" s="111"/>
      <c r="K80" s="111"/>
      <c r="L80" s="72"/>
      <c r="M80" s="75"/>
      <c r="N80" s="75"/>
      <c r="O80" s="72"/>
    </row>
    <row r="81" spans="1:15">
      <c r="A81" s="64"/>
      <c r="B81" s="65"/>
      <c r="C81" s="129"/>
      <c r="D81" s="109"/>
      <c r="E81" s="109"/>
      <c r="F81" s="130"/>
      <c r="G81" s="109"/>
      <c r="H81" s="109"/>
      <c r="I81" s="109"/>
      <c r="J81" s="111"/>
      <c r="K81" s="111"/>
      <c r="L81" s="72"/>
      <c r="M81" s="75"/>
      <c r="N81" s="75"/>
      <c r="O81" s="72"/>
    </row>
    <row r="82" spans="1:15">
      <c r="A82" s="64"/>
      <c r="B82" s="65"/>
      <c r="C82" s="129"/>
      <c r="D82" s="109"/>
      <c r="E82" s="109"/>
      <c r="F82" s="130"/>
      <c r="G82" s="109"/>
      <c r="H82" s="109"/>
      <c r="I82" s="109"/>
      <c r="J82" s="111"/>
      <c r="K82" s="111"/>
      <c r="L82" s="72"/>
      <c r="M82" s="75"/>
      <c r="N82" s="75"/>
      <c r="O82" s="72"/>
    </row>
    <row r="83" spans="1:15">
      <c r="A83" s="64"/>
      <c r="B83" s="65"/>
      <c r="C83" s="129"/>
      <c r="D83" s="109"/>
      <c r="E83" s="109"/>
      <c r="F83" s="130"/>
      <c r="G83" s="109"/>
      <c r="H83" s="109"/>
      <c r="I83" s="109"/>
      <c r="J83" s="111"/>
      <c r="K83" s="111"/>
      <c r="L83" s="72"/>
      <c r="M83" s="75"/>
      <c r="N83" s="75"/>
      <c r="O83" s="72"/>
    </row>
    <row r="84" spans="1:15">
      <c r="A84" s="64"/>
      <c r="B84" s="65"/>
      <c r="C84" s="129"/>
      <c r="D84" s="109"/>
      <c r="E84" s="109"/>
      <c r="F84" s="130"/>
      <c r="G84" s="109"/>
      <c r="H84" s="109"/>
      <c r="I84" s="109"/>
      <c r="J84" s="111"/>
      <c r="K84" s="111"/>
      <c r="L84" s="72"/>
      <c r="M84" s="75"/>
      <c r="N84" s="75"/>
      <c r="O84" s="72"/>
    </row>
    <row r="85" spans="1:15">
      <c r="A85" s="64"/>
      <c r="B85" s="65"/>
      <c r="C85" s="129"/>
      <c r="D85" s="109"/>
      <c r="E85" s="109"/>
      <c r="F85" s="130"/>
      <c r="G85" s="109"/>
      <c r="H85" s="109"/>
      <c r="I85" s="109"/>
      <c r="J85" s="111"/>
      <c r="K85" s="111"/>
      <c r="L85" s="72"/>
      <c r="M85" s="75"/>
      <c r="N85" s="75"/>
      <c r="O85" s="72"/>
    </row>
    <row r="86" spans="1:15">
      <c r="A86" s="64"/>
      <c r="B86" s="65"/>
      <c r="C86" s="129"/>
      <c r="D86" s="109"/>
      <c r="E86" s="109"/>
      <c r="F86" s="130"/>
      <c r="G86" s="109"/>
      <c r="H86" s="109"/>
      <c r="I86" s="109"/>
      <c r="J86" s="111"/>
      <c r="K86" s="111"/>
      <c r="L86" s="72"/>
      <c r="M86" s="75"/>
      <c r="N86" s="75"/>
      <c r="O86" s="72"/>
    </row>
    <row r="87" spans="1:15">
      <c r="A87" s="25" t="s">
        <v>76</v>
      </c>
      <c r="B87" s="7" t="s">
        <v>1</v>
      </c>
      <c r="C87" s="7" t="s">
        <v>284</v>
      </c>
      <c r="D87" s="27" t="s">
        <v>0</v>
      </c>
      <c r="E87" s="27" t="s">
        <v>3</v>
      </c>
      <c r="F87" s="27" t="s">
        <v>4</v>
      </c>
      <c r="G87" s="28" t="s">
        <v>5</v>
      </c>
      <c r="H87" s="27" t="s">
        <v>6</v>
      </c>
      <c r="I87" s="27" t="s">
        <v>7</v>
      </c>
      <c r="J87" s="27" t="s">
        <v>8</v>
      </c>
      <c r="K87" s="27" t="s">
        <v>451</v>
      </c>
      <c r="L87" s="29" t="s">
        <v>393</v>
      </c>
      <c r="M87" s="73" t="s">
        <v>394</v>
      </c>
      <c r="N87" s="73" t="s">
        <v>395</v>
      </c>
      <c r="O87" s="29" t="s">
        <v>9</v>
      </c>
    </row>
    <row r="88" spans="1:15">
      <c r="A88" s="25" t="s">
        <v>83</v>
      </c>
      <c r="B88" s="7" t="s">
        <v>29</v>
      </c>
      <c r="C88" s="6" t="s">
        <v>65</v>
      </c>
      <c r="D88" s="8" t="str">
        <f>"PO1508060067"</f>
        <v>PO1508060067</v>
      </c>
      <c r="E88" s="8" t="str">
        <f>"9787122044051"</f>
        <v>9787122044051</v>
      </c>
      <c r="F88" s="21" t="s">
        <v>175</v>
      </c>
      <c r="G88" s="8" t="s">
        <v>127</v>
      </c>
      <c r="H88" s="9" t="s">
        <v>174</v>
      </c>
      <c r="I88" s="8" t="s">
        <v>173</v>
      </c>
      <c r="J88" s="10">
        <v>25</v>
      </c>
      <c r="K88" s="10">
        <f t="shared" ref="K88:K93" si="8">J88*0.8</f>
        <v>20</v>
      </c>
      <c r="L88" s="12">
        <v>35</v>
      </c>
      <c r="M88" s="74">
        <f t="shared" ref="M88:M95" si="9">J88*L88</f>
        <v>875</v>
      </c>
      <c r="N88" s="74">
        <f t="shared" ref="N88:N93" si="10">M88*0.8</f>
        <v>700</v>
      </c>
      <c r="O88" s="12">
        <v>80</v>
      </c>
    </row>
    <row r="89" spans="1:15">
      <c r="A89" s="25" t="s">
        <v>83</v>
      </c>
      <c r="B89" s="7" t="s">
        <v>29</v>
      </c>
      <c r="C89" s="6" t="s">
        <v>65</v>
      </c>
      <c r="D89" s="8" t="str">
        <f>"PO1508060067"</f>
        <v>PO1508060067</v>
      </c>
      <c r="E89" s="8" t="str">
        <f>"9787122025708"</f>
        <v>9787122025708</v>
      </c>
      <c r="F89" s="21" t="s">
        <v>172</v>
      </c>
      <c r="G89" s="8" t="s">
        <v>127</v>
      </c>
      <c r="H89" s="9" t="s">
        <v>171</v>
      </c>
      <c r="I89" s="8" t="s">
        <v>170</v>
      </c>
      <c r="J89" s="10">
        <v>28</v>
      </c>
      <c r="K89" s="10">
        <f t="shared" si="8"/>
        <v>22.400000000000002</v>
      </c>
      <c r="L89" s="12">
        <v>35</v>
      </c>
      <c r="M89" s="74">
        <f t="shared" si="9"/>
        <v>980</v>
      </c>
      <c r="N89" s="74">
        <f t="shared" si="10"/>
        <v>784</v>
      </c>
      <c r="O89" s="12">
        <v>80</v>
      </c>
    </row>
    <row r="90" spans="1:15">
      <c r="A90" s="25" t="s">
        <v>83</v>
      </c>
      <c r="B90" s="7" t="s">
        <v>29</v>
      </c>
      <c r="C90" s="6" t="s">
        <v>65</v>
      </c>
      <c r="D90" s="8" t="str">
        <f>"PO1508060067"</f>
        <v>PO1508060067</v>
      </c>
      <c r="E90" s="8" t="str">
        <f>"9787511422125"</f>
        <v>9787511422125</v>
      </c>
      <c r="F90" s="21" t="s">
        <v>100</v>
      </c>
      <c r="G90" s="8" t="s">
        <v>99</v>
      </c>
      <c r="H90" s="9" t="s">
        <v>98</v>
      </c>
      <c r="I90" s="8" t="s">
        <v>97</v>
      </c>
      <c r="J90" s="10">
        <v>30</v>
      </c>
      <c r="K90" s="10">
        <f t="shared" si="8"/>
        <v>24</v>
      </c>
      <c r="L90" s="12">
        <v>35</v>
      </c>
      <c r="M90" s="74">
        <f t="shared" si="9"/>
        <v>1050</v>
      </c>
      <c r="N90" s="74">
        <f t="shared" si="10"/>
        <v>840</v>
      </c>
      <c r="O90" s="12">
        <v>80</v>
      </c>
    </row>
    <row r="91" spans="1:15">
      <c r="A91" s="25" t="s">
        <v>83</v>
      </c>
      <c r="B91" s="7" t="s">
        <v>29</v>
      </c>
      <c r="C91" s="6" t="s">
        <v>65</v>
      </c>
      <c r="D91" s="8" t="str">
        <f>"PO1508060067"</f>
        <v>PO1508060067</v>
      </c>
      <c r="E91" s="8" t="str">
        <f>"9787561529300"</f>
        <v>9787561529300</v>
      </c>
      <c r="F91" s="21" t="s">
        <v>165</v>
      </c>
      <c r="G91" s="8" t="s">
        <v>164</v>
      </c>
      <c r="H91" s="9" t="s">
        <v>163</v>
      </c>
      <c r="I91" s="8" t="s">
        <v>162</v>
      </c>
      <c r="J91" s="10">
        <v>30</v>
      </c>
      <c r="K91" s="10">
        <f t="shared" si="8"/>
        <v>24</v>
      </c>
      <c r="L91" s="12">
        <v>35</v>
      </c>
      <c r="M91" s="74">
        <f t="shared" si="9"/>
        <v>1050</v>
      </c>
      <c r="N91" s="74">
        <f t="shared" si="10"/>
        <v>840</v>
      </c>
      <c r="O91" s="12">
        <v>80</v>
      </c>
    </row>
    <row r="92" spans="1:15">
      <c r="A92" s="25" t="s">
        <v>83</v>
      </c>
      <c r="B92" s="7" t="s">
        <v>29</v>
      </c>
      <c r="C92" s="6" t="s">
        <v>65</v>
      </c>
      <c r="D92" s="8" t="str">
        <f>"PO1508060067"</f>
        <v>PO1508060067</v>
      </c>
      <c r="E92" s="8" t="str">
        <f>"9787502635176"</f>
        <v>9787502635176</v>
      </c>
      <c r="F92" s="21" t="s">
        <v>169</v>
      </c>
      <c r="G92" s="8" t="s">
        <v>168</v>
      </c>
      <c r="H92" s="9" t="s">
        <v>167</v>
      </c>
      <c r="I92" s="8" t="s">
        <v>166</v>
      </c>
      <c r="J92" s="10">
        <v>32</v>
      </c>
      <c r="K92" s="10">
        <f t="shared" si="8"/>
        <v>25.6</v>
      </c>
      <c r="L92" s="12">
        <v>35</v>
      </c>
      <c r="M92" s="74">
        <f t="shared" si="9"/>
        <v>1120</v>
      </c>
      <c r="N92" s="74">
        <f t="shared" si="10"/>
        <v>896</v>
      </c>
      <c r="O92" s="12">
        <v>80</v>
      </c>
    </row>
    <row r="93" spans="1:15">
      <c r="A93" s="25" t="s">
        <v>75</v>
      </c>
      <c r="B93" s="7" t="s">
        <v>29</v>
      </c>
      <c r="C93" s="6" t="s">
        <v>65</v>
      </c>
      <c r="D93" s="8" t="str">
        <f>"PO1509140004"</f>
        <v>PO1509140004</v>
      </c>
      <c r="E93" s="8" t="str">
        <f>"9787122243409"</f>
        <v>9787122243409</v>
      </c>
      <c r="F93" s="21" t="s">
        <v>291</v>
      </c>
      <c r="G93" s="8" t="s">
        <v>127</v>
      </c>
      <c r="H93" s="9" t="s">
        <v>292</v>
      </c>
      <c r="I93" s="8" t="s">
        <v>293</v>
      </c>
      <c r="J93" s="10">
        <v>35</v>
      </c>
      <c r="K93" s="10">
        <f t="shared" si="8"/>
        <v>28</v>
      </c>
      <c r="L93" s="12">
        <v>35</v>
      </c>
      <c r="M93" s="74">
        <f t="shared" si="9"/>
        <v>1225</v>
      </c>
      <c r="N93" s="74">
        <f t="shared" si="10"/>
        <v>980</v>
      </c>
      <c r="O93" s="12">
        <v>80</v>
      </c>
    </row>
    <row r="94" spans="1:15">
      <c r="A94" s="25" t="s">
        <v>75</v>
      </c>
      <c r="B94" s="7" t="s">
        <v>29</v>
      </c>
      <c r="C94" s="6" t="s">
        <v>65</v>
      </c>
      <c r="D94" s="4" t="s">
        <v>377</v>
      </c>
      <c r="E94" s="4" t="s">
        <v>376</v>
      </c>
      <c r="F94" s="33" t="s">
        <v>386</v>
      </c>
      <c r="G94" s="4" t="s">
        <v>376</v>
      </c>
      <c r="H94" s="4" t="s">
        <v>375</v>
      </c>
      <c r="I94" s="4" t="s">
        <v>376</v>
      </c>
      <c r="J94" s="30">
        <v>5</v>
      </c>
      <c r="K94" s="30">
        <f>J94*1</f>
        <v>5</v>
      </c>
      <c r="L94" s="12">
        <v>35</v>
      </c>
      <c r="M94" s="74">
        <f t="shared" si="9"/>
        <v>175</v>
      </c>
      <c r="N94" s="74">
        <f>M94*1</f>
        <v>175</v>
      </c>
      <c r="O94" s="12">
        <v>100</v>
      </c>
    </row>
    <row r="95" spans="1:15">
      <c r="A95" s="25" t="s">
        <v>75</v>
      </c>
      <c r="B95" s="7" t="s">
        <v>29</v>
      </c>
      <c r="C95" s="6" t="s">
        <v>65</v>
      </c>
      <c r="D95" s="4" t="s">
        <v>377</v>
      </c>
      <c r="E95" s="4" t="s">
        <v>376</v>
      </c>
      <c r="F95" s="46" t="s">
        <v>432</v>
      </c>
      <c r="G95" s="4" t="s">
        <v>377</v>
      </c>
      <c r="H95" s="4" t="s">
        <v>376</v>
      </c>
      <c r="I95" s="4" t="s">
        <v>377</v>
      </c>
      <c r="J95" s="30">
        <v>3.6</v>
      </c>
      <c r="K95" s="30">
        <f>J95*1</f>
        <v>3.6</v>
      </c>
      <c r="L95" s="12">
        <v>35</v>
      </c>
      <c r="M95" s="74">
        <f t="shared" si="9"/>
        <v>126</v>
      </c>
      <c r="N95" s="74">
        <f>M95*1</f>
        <v>126</v>
      </c>
      <c r="O95" s="12">
        <v>100</v>
      </c>
    </row>
    <row r="96" spans="1:15">
      <c r="A96" s="152" t="s">
        <v>452</v>
      </c>
      <c r="B96" s="153"/>
      <c r="C96" s="153"/>
      <c r="D96" s="153"/>
      <c r="E96" s="153"/>
      <c r="F96" s="153"/>
      <c r="G96" s="153"/>
      <c r="H96" s="153"/>
      <c r="I96" s="154"/>
      <c r="J96" s="108">
        <f>SUM(J88:J95)</f>
        <v>188.6</v>
      </c>
      <c r="K96" s="108">
        <f>SUM(K88:K95)</f>
        <v>152.6</v>
      </c>
      <c r="L96" s="142">
        <f>SUM(L88:L95)</f>
        <v>280</v>
      </c>
      <c r="M96" s="108">
        <f>SUM(M88:M95)</f>
        <v>6601</v>
      </c>
      <c r="N96" s="108">
        <f>SUM(N88:N95)</f>
        <v>5341</v>
      </c>
      <c r="O96" s="54"/>
    </row>
    <row r="97" spans="1:15" ht="14.25">
      <c r="A97" s="88" t="s">
        <v>444</v>
      </c>
      <c r="B97" s="65"/>
      <c r="C97" s="129"/>
      <c r="D97" s="109"/>
      <c r="E97" s="109"/>
      <c r="F97" s="130"/>
      <c r="G97" s="109"/>
      <c r="H97" s="109"/>
      <c r="I97" s="109"/>
      <c r="J97" s="111"/>
      <c r="K97" s="111"/>
      <c r="L97" s="72"/>
      <c r="M97" s="75"/>
      <c r="N97" s="75"/>
      <c r="O97" s="72"/>
    </row>
    <row r="98" spans="1:15" ht="14.25">
      <c r="A98" s="88" t="s">
        <v>443</v>
      </c>
      <c r="B98" s="65"/>
      <c r="C98" s="129"/>
      <c r="D98" s="109"/>
      <c r="E98" s="109"/>
      <c r="F98" s="130"/>
      <c r="G98" s="109"/>
      <c r="H98" s="109"/>
      <c r="I98" s="109"/>
      <c r="J98" s="111"/>
      <c r="K98" s="111"/>
      <c r="L98" s="72"/>
      <c r="M98" s="75"/>
      <c r="N98" s="75"/>
      <c r="O98" s="72"/>
    </row>
    <row r="99" spans="1:15">
      <c r="A99" s="64"/>
      <c r="B99" s="65"/>
      <c r="C99" s="129"/>
      <c r="D99" s="109"/>
      <c r="E99" s="109"/>
      <c r="F99" s="130"/>
      <c r="G99" s="109"/>
      <c r="H99" s="109"/>
      <c r="I99" s="109"/>
      <c r="J99" s="111"/>
      <c r="K99" s="111"/>
      <c r="L99" s="72"/>
      <c r="M99" s="75"/>
      <c r="N99" s="75"/>
      <c r="O99" s="72"/>
    </row>
    <row r="100" spans="1:15">
      <c r="A100" s="64"/>
      <c r="B100" s="65"/>
      <c r="C100" s="129"/>
      <c r="D100" s="109"/>
      <c r="E100" s="109"/>
      <c r="F100" s="130"/>
      <c r="G100" s="109"/>
      <c r="H100" s="109"/>
      <c r="I100" s="109"/>
      <c r="J100" s="111"/>
      <c r="K100" s="111"/>
      <c r="L100" s="72"/>
      <c r="M100" s="75"/>
      <c r="N100" s="75"/>
      <c r="O100" s="72"/>
    </row>
    <row r="101" spans="1:15">
      <c r="A101" s="64"/>
      <c r="B101" s="65"/>
      <c r="C101" s="129"/>
      <c r="D101" s="109"/>
      <c r="E101" s="109"/>
      <c r="F101" s="130"/>
      <c r="G101" s="109"/>
      <c r="H101" s="109"/>
      <c r="I101" s="109"/>
      <c r="J101" s="111"/>
      <c r="K101" s="111"/>
      <c r="L101" s="72"/>
      <c r="M101" s="75"/>
      <c r="N101" s="75"/>
      <c r="O101" s="72"/>
    </row>
    <row r="102" spans="1:15">
      <c r="A102" s="64"/>
      <c r="B102" s="65"/>
      <c r="C102" s="129"/>
      <c r="D102" s="109"/>
      <c r="E102" s="109"/>
      <c r="F102" s="130"/>
      <c r="G102" s="109"/>
      <c r="H102" s="109"/>
      <c r="I102" s="109"/>
      <c r="J102" s="111"/>
      <c r="K102" s="111"/>
      <c r="L102" s="72"/>
      <c r="M102" s="75"/>
      <c r="N102" s="75"/>
      <c r="O102" s="72"/>
    </row>
    <row r="103" spans="1:15">
      <c r="A103" s="64"/>
      <c r="B103" s="65"/>
      <c r="C103" s="129"/>
      <c r="D103" s="109"/>
      <c r="E103" s="109"/>
      <c r="F103" s="130"/>
      <c r="G103" s="109"/>
      <c r="H103" s="109"/>
      <c r="I103" s="109"/>
      <c r="J103" s="111"/>
      <c r="K103" s="111"/>
      <c r="L103" s="72"/>
      <c r="M103" s="75"/>
      <c r="N103" s="75"/>
      <c r="O103" s="72"/>
    </row>
    <row r="104" spans="1:15">
      <c r="A104" s="64"/>
      <c r="B104" s="65"/>
      <c r="C104" s="129"/>
      <c r="D104" s="109"/>
      <c r="E104" s="109"/>
      <c r="F104" s="130"/>
      <c r="G104" s="109"/>
      <c r="H104" s="109"/>
      <c r="I104" s="109"/>
      <c r="J104" s="111"/>
      <c r="K104" s="111"/>
      <c r="L104" s="72"/>
      <c r="M104" s="75"/>
      <c r="N104" s="75"/>
      <c r="O104" s="72"/>
    </row>
    <row r="105" spans="1:15">
      <c r="A105" s="64"/>
      <c r="B105" s="65"/>
      <c r="C105" s="129"/>
      <c r="D105" s="109"/>
      <c r="E105" s="109"/>
      <c r="F105" s="130"/>
      <c r="G105" s="109"/>
      <c r="H105" s="109"/>
      <c r="I105" s="109"/>
      <c r="J105" s="111"/>
      <c r="K105" s="111"/>
      <c r="L105" s="72"/>
      <c r="M105" s="75"/>
      <c r="N105" s="75"/>
      <c r="O105" s="72"/>
    </row>
    <row r="106" spans="1:15">
      <c r="A106" s="64"/>
      <c r="B106" s="65"/>
      <c r="C106" s="129"/>
      <c r="D106" s="109"/>
      <c r="E106" s="109"/>
      <c r="F106" s="130"/>
      <c r="G106" s="109"/>
      <c r="H106" s="109"/>
      <c r="I106" s="109"/>
      <c r="J106" s="111"/>
      <c r="K106" s="111"/>
      <c r="L106" s="72"/>
      <c r="M106" s="75"/>
      <c r="N106" s="75"/>
      <c r="O106" s="72"/>
    </row>
    <row r="107" spans="1:15">
      <c r="A107" s="25" t="s">
        <v>76</v>
      </c>
      <c r="B107" s="7" t="s">
        <v>1</v>
      </c>
      <c r="C107" s="7" t="s">
        <v>284</v>
      </c>
      <c r="D107" s="27" t="s">
        <v>0</v>
      </c>
      <c r="E107" s="27" t="s">
        <v>3</v>
      </c>
      <c r="F107" s="27" t="s">
        <v>4</v>
      </c>
      <c r="G107" s="28" t="s">
        <v>5</v>
      </c>
      <c r="H107" s="27" t="s">
        <v>6</v>
      </c>
      <c r="I107" s="27" t="s">
        <v>7</v>
      </c>
      <c r="J107" s="27" t="s">
        <v>8</v>
      </c>
      <c r="K107" s="27" t="s">
        <v>451</v>
      </c>
      <c r="L107" s="29" t="s">
        <v>393</v>
      </c>
      <c r="M107" s="73" t="s">
        <v>394</v>
      </c>
      <c r="N107" s="73" t="s">
        <v>395</v>
      </c>
      <c r="O107" s="29" t="s">
        <v>9</v>
      </c>
    </row>
    <row r="108" spans="1:15">
      <c r="A108" s="25" t="s">
        <v>83</v>
      </c>
      <c r="B108" s="7" t="s">
        <v>18</v>
      </c>
      <c r="C108" s="6" t="s">
        <v>66</v>
      </c>
      <c r="D108" s="8" t="str">
        <f>"PO1508060068"</f>
        <v>PO1508060068</v>
      </c>
      <c r="E108" s="8" t="str">
        <f>"9787511422125"</f>
        <v>9787511422125</v>
      </c>
      <c r="F108" s="21" t="s">
        <v>100</v>
      </c>
      <c r="G108" s="8" t="s">
        <v>99</v>
      </c>
      <c r="H108" s="9" t="s">
        <v>98</v>
      </c>
      <c r="I108" s="8" t="s">
        <v>97</v>
      </c>
      <c r="J108" s="10">
        <v>30</v>
      </c>
      <c r="K108" s="10">
        <f>J108*0.8</f>
        <v>24</v>
      </c>
      <c r="L108" s="12">
        <v>35</v>
      </c>
      <c r="M108" s="74">
        <f>J108*L108</f>
        <v>1050</v>
      </c>
      <c r="N108" s="74">
        <f>M108*0.8</f>
        <v>840</v>
      </c>
      <c r="O108" s="12">
        <v>80</v>
      </c>
    </row>
    <row r="109" spans="1:15">
      <c r="A109" s="25" t="s">
        <v>83</v>
      </c>
      <c r="B109" s="7" t="s">
        <v>18</v>
      </c>
      <c r="C109" s="6" t="s">
        <v>66</v>
      </c>
      <c r="D109" s="8" t="str">
        <f>"PO1508060068"</f>
        <v>PO1508060068</v>
      </c>
      <c r="E109" s="8" t="str">
        <f>"9787561529300"</f>
        <v>9787561529300</v>
      </c>
      <c r="F109" s="21" t="s">
        <v>165</v>
      </c>
      <c r="G109" s="8" t="s">
        <v>164</v>
      </c>
      <c r="H109" s="9" t="s">
        <v>163</v>
      </c>
      <c r="I109" s="8" t="s">
        <v>162</v>
      </c>
      <c r="J109" s="10">
        <v>30</v>
      </c>
      <c r="K109" s="10">
        <f>J109*0.8</f>
        <v>24</v>
      </c>
      <c r="L109" s="12">
        <v>36</v>
      </c>
      <c r="M109" s="74">
        <f>J109*L109</f>
        <v>1080</v>
      </c>
      <c r="N109" s="74">
        <f>M109*0.8</f>
        <v>864</v>
      </c>
      <c r="O109" s="12">
        <v>80</v>
      </c>
    </row>
    <row r="110" spans="1:15">
      <c r="A110" s="25" t="s">
        <v>83</v>
      </c>
      <c r="B110" s="7" t="s">
        <v>18</v>
      </c>
      <c r="C110" s="6" t="s">
        <v>66</v>
      </c>
      <c r="D110" s="8" t="str">
        <f>"PO1508180119"</f>
        <v>PO1508180119</v>
      </c>
      <c r="E110" s="8" t="str">
        <f>"9787506757515"</f>
        <v>9787506757515</v>
      </c>
      <c r="F110" s="21" t="s">
        <v>114</v>
      </c>
      <c r="G110" s="8" t="s">
        <v>111</v>
      </c>
      <c r="H110" s="9" t="s">
        <v>102</v>
      </c>
      <c r="I110" s="8" t="s">
        <v>113</v>
      </c>
      <c r="J110" s="10">
        <v>56</v>
      </c>
      <c r="K110" s="10">
        <f>J110*0.8</f>
        <v>44.800000000000004</v>
      </c>
      <c r="L110" s="12">
        <v>36</v>
      </c>
      <c r="M110" s="74">
        <f>J110*L110</f>
        <v>2016</v>
      </c>
      <c r="N110" s="74">
        <f>M110*0.8</f>
        <v>1612.8000000000002</v>
      </c>
      <c r="O110" s="12">
        <v>80</v>
      </c>
    </row>
    <row r="111" spans="1:15">
      <c r="A111" s="25" t="s">
        <v>83</v>
      </c>
      <c r="B111" s="7" t="s">
        <v>18</v>
      </c>
      <c r="C111" s="6" t="s">
        <v>66</v>
      </c>
      <c r="D111" s="4" t="s">
        <v>377</v>
      </c>
      <c r="E111" s="4" t="s">
        <v>376</v>
      </c>
      <c r="F111" s="33" t="s">
        <v>386</v>
      </c>
      <c r="G111" s="4" t="s">
        <v>376</v>
      </c>
      <c r="H111" s="4" t="s">
        <v>375</v>
      </c>
      <c r="I111" s="4" t="s">
        <v>376</v>
      </c>
      <c r="J111" s="30">
        <v>5</v>
      </c>
      <c r="K111" s="30">
        <f>J111*1</f>
        <v>5</v>
      </c>
      <c r="L111" s="12">
        <v>38</v>
      </c>
      <c r="M111" s="74">
        <f>J111*L111</f>
        <v>190</v>
      </c>
      <c r="N111" s="74">
        <f>M111*1</f>
        <v>190</v>
      </c>
      <c r="O111" s="12">
        <v>100</v>
      </c>
    </row>
    <row r="112" spans="1:15">
      <c r="A112" s="25" t="s">
        <v>83</v>
      </c>
      <c r="B112" s="7" t="s">
        <v>18</v>
      </c>
      <c r="C112" s="6" t="s">
        <v>66</v>
      </c>
      <c r="D112" s="4" t="s">
        <v>377</v>
      </c>
      <c r="E112" s="4" t="s">
        <v>376</v>
      </c>
      <c r="F112" s="47" t="s">
        <v>436</v>
      </c>
      <c r="G112" s="4" t="s">
        <v>376</v>
      </c>
      <c r="H112" s="4" t="s">
        <v>375</v>
      </c>
      <c r="I112" s="4" t="s">
        <v>376</v>
      </c>
      <c r="J112" s="30">
        <v>3.6</v>
      </c>
      <c r="K112" s="30">
        <f>J112*1</f>
        <v>3.6</v>
      </c>
      <c r="L112" s="12">
        <v>40</v>
      </c>
      <c r="M112" s="74">
        <f>J112*L112</f>
        <v>144</v>
      </c>
      <c r="N112" s="74">
        <f>M112*1</f>
        <v>144</v>
      </c>
      <c r="O112" s="12">
        <v>100</v>
      </c>
    </row>
    <row r="113" spans="1:15">
      <c r="A113" s="152" t="s">
        <v>452</v>
      </c>
      <c r="B113" s="153"/>
      <c r="C113" s="153"/>
      <c r="D113" s="153"/>
      <c r="E113" s="153"/>
      <c r="F113" s="153"/>
      <c r="G113" s="153"/>
      <c r="H113" s="153"/>
      <c r="I113" s="154"/>
      <c r="J113" s="108">
        <f>SUM(J108:J112)</f>
        <v>124.6</v>
      </c>
      <c r="K113" s="108">
        <f>SUM(K108:K112)</f>
        <v>101.4</v>
      </c>
      <c r="L113" s="142">
        <f>SUM(L108:L112)</f>
        <v>185</v>
      </c>
      <c r="M113" s="108">
        <f>SUM(M108:M112)</f>
        <v>4480</v>
      </c>
      <c r="N113" s="108">
        <f>SUM(N108:N112)</f>
        <v>3650.8</v>
      </c>
      <c r="O113" s="54"/>
    </row>
    <row r="114" spans="1:15" ht="14.25">
      <c r="A114" s="88" t="s">
        <v>444</v>
      </c>
      <c r="B114" s="65"/>
      <c r="C114" s="129"/>
      <c r="D114" s="109"/>
      <c r="E114" s="109"/>
      <c r="F114" s="137"/>
      <c r="G114" s="109"/>
      <c r="H114" s="109"/>
      <c r="I114" s="109"/>
      <c r="J114" s="111"/>
      <c r="K114" s="111"/>
      <c r="L114" s="72"/>
      <c r="M114" s="75"/>
      <c r="N114" s="75"/>
      <c r="O114" s="72"/>
    </row>
    <row r="115" spans="1:15" ht="14.25">
      <c r="A115" s="88" t="s">
        <v>443</v>
      </c>
      <c r="B115" s="65"/>
      <c r="C115" s="129"/>
      <c r="D115" s="109"/>
      <c r="E115" s="109"/>
      <c r="F115" s="137"/>
      <c r="G115" s="109"/>
      <c r="H115" s="109"/>
      <c r="I115" s="109"/>
      <c r="J115" s="111"/>
      <c r="K115" s="111"/>
      <c r="L115" s="72"/>
      <c r="M115" s="75"/>
      <c r="N115" s="75"/>
      <c r="O115" s="72"/>
    </row>
    <row r="116" spans="1:15">
      <c r="A116" s="64"/>
      <c r="B116" s="65"/>
      <c r="C116" s="129"/>
      <c r="D116" s="109"/>
      <c r="E116" s="109"/>
      <c r="F116" s="137"/>
      <c r="G116" s="109"/>
      <c r="H116" s="109"/>
      <c r="I116" s="109"/>
      <c r="J116" s="111"/>
      <c r="K116" s="111"/>
      <c r="L116" s="72"/>
      <c r="M116" s="75"/>
      <c r="N116" s="75"/>
      <c r="O116" s="72"/>
    </row>
    <row r="117" spans="1:15">
      <c r="A117" s="64"/>
      <c r="B117" s="65"/>
      <c r="C117" s="129"/>
      <c r="D117" s="109"/>
      <c r="E117" s="109"/>
      <c r="F117" s="137"/>
      <c r="G117" s="109"/>
      <c r="H117" s="109"/>
      <c r="I117" s="109"/>
      <c r="J117" s="111"/>
      <c r="K117" s="111"/>
      <c r="L117" s="72"/>
      <c r="M117" s="75"/>
      <c r="N117" s="75"/>
      <c r="O117" s="72"/>
    </row>
    <row r="118" spans="1:15">
      <c r="A118" s="64"/>
      <c r="B118" s="65"/>
      <c r="C118" s="129"/>
      <c r="D118" s="109"/>
      <c r="E118" s="109"/>
      <c r="F118" s="137"/>
      <c r="G118" s="109"/>
      <c r="H118" s="109"/>
      <c r="I118" s="109"/>
      <c r="J118" s="111"/>
      <c r="K118" s="111"/>
      <c r="L118" s="72"/>
      <c r="M118" s="75"/>
      <c r="N118" s="75"/>
      <c r="O118" s="72"/>
    </row>
    <row r="119" spans="1:15">
      <c r="A119" s="64"/>
      <c r="B119" s="65"/>
      <c r="C119" s="129"/>
      <c r="D119" s="109"/>
      <c r="E119" s="109"/>
      <c r="F119" s="137"/>
      <c r="G119" s="109"/>
      <c r="H119" s="109"/>
      <c r="I119" s="109"/>
      <c r="J119" s="111"/>
      <c r="K119" s="111"/>
      <c r="L119" s="72"/>
      <c r="M119" s="75"/>
      <c r="N119" s="75"/>
      <c r="O119" s="72"/>
    </row>
    <row r="120" spans="1:15">
      <c r="A120" s="64"/>
      <c r="B120" s="65"/>
      <c r="C120" s="129"/>
      <c r="D120" s="109"/>
      <c r="E120" s="109"/>
      <c r="F120" s="137"/>
      <c r="G120" s="109"/>
      <c r="H120" s="109"/>
      <c r="I120" s="109"/>
      <c r="J120" s="111"/>
      <c r="K120" s="111"/>
      <c r="L120" s="72"/>
      <c r="M120" s="75"/>
      <c r="N120" s="75"/>
      <c r="O120" s="72"/>
    </row>
    <row r="121" spans="1:15">
      <c r="A121" s="64"/>
      <c r="B121" s="65"/>
      <c r="C121" s="129"/>
      <c r="D121" s="109"/>
      <c r="E121" s="109"/>
      <c r="F121" s="137"/>
      <c r="G121" s="109"/>
      <c r="H121" s="109"/>
      <c r="I121" s="109"/>
      <c r="J121" s="111"/>
      <c r="K121" s="111"/>
      <c r="L121" s="72"/>
      <c r="M121" s="75"/>
      <c r="N121" s="75"/>
      <c r="O121" s="72"/>
    </row>
    <row r="122" spans="1:15">
      <c r="A122" s="64"/>
      <c r="B122" s="65"/>
      <c r="C122" s="129"/>
      <c r="D122" s="109"/>
      <c r="E122" s="109"/>
      <c r="F122" s="137"/>
      <c r="G122" s="109"/>
      <c r="H122" s="109"/>
      <c r="I122" s="109"/>
      <c r="J122" s="111"/>
      <c r="K122" s="111"/>
      <c r="L122" s="72"/>
      <c r="M122" s="75"/>
      <c r="N122" s="75"/>
      <c r="O122" s="72"/>
    </row>
    <row r="123" spans="1:15">
      <c r="A123" s="64"/>
      <c r="B123" s="65"/>
      <c r="C123" s="129"/>
      <c r="D123" s="109"/>
      <c r="E123" s="109"/>
      <c r="F123" s="137"/>
      <c r="G123" s="109"/>
      <c r="H123" s="109"/>
      <c r="I123" s="109"/>
      <c r="J123" s="111"/>
      <c r="K123" s="111"/>
      <c r="L123" s="72"/>
      <c r="M123" s="75"/>
      <c r="N123" s="75"/>
      <c r="O123" s="72"/>
    </row>
    <row r="124" spans="1:15">
      <c r="A124" s="64"/>
      <c r="B124" s="65"/>
      <c r="C124" s="129"/>
      <c r="D124" s="109"/>
      <c r="E124" s="109"/>
      <c r="F124" s="137"/>
      <c r="G124" s="109"/>
      <c r="H124" s="109"/>
      <c r="I124" s="109"/>
      <c r="J124" s="111"/>
      <c r="K124" s="111"/>
      <c r="L124" s="72"/>
      <c r="M124" s="75"/>
      <c r="N124" s="75"/>
      <c r="O124" s="72"/>
    </row>
    <row r="125" spans="1:15">
      <c r="A125" s="25" t="s">
        <v>76</v>
      </c>
      <c r="B125" s="7" t="s">
        <v>1</v>
      </c>
      <c r="C125" s="7" t="s">
        <v>284</v>
      </c>
      <c r="D125" s="27" t="s">
        <v>0</v>
      </c>
      <c r="E125" s="27" t="s">
        <v>3</v>
      </c>
      <c r="F125" s="27" t="s">
        <v>4</v>
      </c>
      <c r="G125" s="28" t="s">
        <v>5</v>
      </c>
      <c r="H125" s="27" t="s">
        <v>6</v>
      </c>
      <c r="I125" s="27" t="s">
        <v>7</v>
      </c>
      <c r="J125" s="27" t="s">
        <v>8</v>
      </c>
      <c r="K125" s="27" t="s">
        <v>451</v>
      </c>
      <c r="L125" s="29" t="s">
        <v>393</v>
      </c>
      <c r="M125" s="73" t="s">
        <v>394</v>
      </c>
      <c r="N125" s="73" t="s">
        <v>395</v>
      </c>
      <c r="O125" s="29" t="s">
        <v>9</v>
      </c>
    </row>
    <row r="126" spans="1:15">
      <c r="A126" s="25" t="s">
        <v>83</v>
      </c>
      <c r="B126" s="7" t="s">
        <v>161</v>
      </c>
      <c r="C126" s="6" t="s">
        <v>67</v>
      </c>
      <c r="D126" s="8" t="str">
        <f>"PO1508060069"</f>
        <v>PO1508060069</v>
      </c>
      <c r="E126" s="8" t="str">
        <f>"9787562929505"</f>
        <v>9787562929505</v>
      </c>
      <c r="F126" s="21" t="s">
        <v>160</v>
      </c>
      <c r="G126" s="8" t="s">
        <v>159</v>
      </c>
      <c r="H126" s="9" t="s">
        <v>158</v>
      </c>
      <c r="I126" s="8" t="s">
        <v>157</v>
      </c>
      <c r="J126" s="10">
        <v>29</v>
      </c>
      <c r="K126" s="10">
        <f>J126*0.8</f>
        <v>23.200000000000003</v>
      </c>
      <c r="L126" s="12">
        <v>32</v>
      </c>
      <c r="M126" s="74">
        <f t="shared" ref="M126:M131" si="11">J126*L126</f>
        <v>928</v>
      </c>
      <c r="N126" s="74">
        <f>M126*0.8</f>
        <v>742.40000000000009</v>
      </c>
      <c r="O126" s="12">
        <v>80</v>
      </c>
    </row>
    <row r="127" spans="1:15">
      <c r="A127" s="25" t="s">
        <v>83</v>
      </c>
      <c r="B127" s="7" t="s">
        <v>161</v>
      </c>
      <c r="C127" s="6" t="s">
        <v>67</v>
      </c>
      <c r="D127" s="8" t="str">
        <f>"PO1508060069"</f>
        <v>PO1508060069</v>
      </c>
      <c r="E127" s="8" t="str">
        <f>"9787030254993"</f>
        <v>9787030254993</v>
      </c>
      <c r="F127" s="21" t="s">
        <v>156</v>
      </c>
      <c r="G127" s="8" t="s">
        <v>84</v>
      </c>
      <c r="H127" s="9" t="s">
        <v>155</v>
      </c>
      <c r="I127" s="8" t="s">
        <v>154</v>
      </c>
      <c r="J127" s="10">
        <v>38</v>
      </c>
      <c r="K127" s="10">
        <f>J127*0.8</f>
        <v>30.400000000000002</v>
      </c>
      <c r="L127" s="12">
        <v>32</v>
      </c>
      <c r="M127" s="74">
        <f t="shared" si="11"/>
        <v>1216</v>
      </c>
      <c r="N127" s="74">
        <f>M127*0.8</f>
        <v>972.80000000000007</v>
      </c>
      <c r="O127" s="12">
        <v>80</v>
      </c>
    </row>
    <row r="128" spans="1:15">
      <c r="A128" s="25" t="s">
        <v>75</v>
      </c>
      <c r="B128" s="7" t="s">
        <v>378</v>
      </c>
      <c r="C128" s="6" t="s">
        <v>67</v>
      </c>
      <c r="D128" s="4" t="s">
        <v>377</v>
      </c>
      <c r="E128" s="4" t="s">
        <v>376</v>
      </c>
      <c r="F128" s="33" t="s">
        <v>386</v>
      </c>
      <c r="G128" s="4" t="s">
        <v>376</v>
      </c>
      <c r="H128" s="4" t="s">
        <v>375</v>
      </c>
      <c r="I128" s="4" t="s">
        <v>376</v>
      </c>
      <c r="J128" s="30">
        <v>5</v>
      </c>
      <c r="K128" s="30">
        <f>J128*1</f>
        <v>5</v>
      </c>
      <c r="L128" s="12">
        <v>32</v>
      </c>
      <c r="M128" s="74">
        <f t="shared" si="11"/>
        <v>160</v>
      </c>
      <c r="N128" s="74">
        <f>M128*1</f>
        <v>160</v>
      </c>
      <c r="O128" s="12">
        <v>100</v>
      </c>
    </row>
    <row r="129" spans="1:15">
      <c r="A129" s="25" t="s">
        <v>75</v>
      </c>
      <c r="B129" s="7" t="s">
        <v>378</v>
      </c>
      <c r="C129" s="6" t="s">
        <v>67</v>
      </c>
      <c r="D129" s="4" t="s">
        <v>377</v>
      </c>
      <c r="E129" s="4" t="s">
        <v>376</v>
      </c>
      <c r="F129" s="21" t="s">
        <v>379</v>
      </c>
      <c r="G129" s="4" t="s">
        <v>376</v>
      </c>
      <c r="H129" s="4" t="s">
        <v>375</v>
      </c>
      <c r="I129" s="4" t="s">
        <v>382</v>
      </c>
      <c r="J129" s="10">
        <v>16.399999999999999</v>
      </c>
      <c r="K129" s="30">
        <f>J129*1</f>
        <v>16.399999999999999</v>
      </c>
      <c r="L129" s="12">
        <v>32</v>
      </c>
      <c r="M129" s="74">
        <f t="shared" si="11"/>
        <v>524.79999999999995</v>
      </c>
      <c r="N129" s="74">
        <f>M129*1</f>
        <v>524.79999999999995</v>
      </c>
      <c r="O129" s="12">
        <v>100</v>
      </c>
    </row>
    <row r="130" spans="1:15">
      <c r="A130" s="25" t="s">
        <v>75</v>
      </c>
      <c r="B130" s="7" t="s">
        <v>378</v>
      </c>
      <c r="C130" s="6" t="s">
        <v>67</v>
      </c>
      <c r="D130" s="4" t="s">
        <v>377</v>
      </c>
      <c r="E130" s="4" t="s">
        <v>376</v>
      </c>
      <c r="F130" s="21" t="s">
        <v>380</v>
      </c>
      <c r="G130" s="4" t="s">
        <v>376</v>
      </c>
      <c r="H130" s="4" t="s">
        <v>375</v>
      </c>
      <c r="I130" s="4" t="s">
        <v>382</v>
      </c>
      <c r="J130" s="10">
        <v>12</v>
      </c>
      <c r="K130" s="30">
        <f>J130*1</f>
        <v>12</v>
      </c>
      <c r="L130" s="12">
        <v>32</v>
      </c>
      <c r="M130" s="74">
        <f t="shared" si="11"/>
        <v>384</v>
      </c>
      <c r="N130" s="74">
        <f>M130*1</f>
        <v>384</v>
      </c>
      <c r="O130" s="12">
        <v>100</v>
      </c>
    </row>
    <row r="131" spans="1:15">
      <c r="A131" s="25" t="s">
        <v>75</v>
      </c>
      <c r="B131" s="7" t="s">
        <v>378</v>
      </c>
      <c r="C131" s="6" t="s">
        <v>67</v>
      </c>
      <c r="D131" s="4" t="s">
        <v>377</v>
      </c>
      <c r="E131" s="4" t="s">
        <v>376</v>
      </c>
      <c r="F131" s="21" t="s">
        <v>381</v>
      </c>
      <c r="G131" s="4" t="s">
        <v>376</v>
      </c>
      <c r="H131" s="4" t="s">
        <v>375</v>
      </c>
      <c r="I131" s="4" t="s">
        <v>382</v>
      </c>
      <c r="J131" s="10">
        <v>8.6</v>
      </c>
      <c r="K131" s="30">
        <f>J131*1</f>
        <v>8.6</v>
      </c>
      <c r="L131" s="12">
        <v>32</v>
      </c>
      <c r="M131" s="74">
        <f t="shared" si="11"/>
        <v>275.2</v>
      </c>
      <c r="N131" s="74">
        <f>M131*1</f>
        <v>275.2</v>
      </c>
      <c r="O131" s="12">
        <v>100</v>
      </c>
    </row>
    <row r="132" spans="1:15">
      <c r="A132" s="152" t="s">
        <v>452</v>
      </c>
      <c r="B132" s="153"/>
      <c r="C132" s="153"/>
      <c r="D132" s="153"/>
      <c r="E132" s="153"/>
      <c r="F132" s="153"/>
      <c r="G132" s="153"/>
      <c r="H132" s="153"/>
      <c r="I132" s="154"/>
      <c r="J132" s="52">
        <f>SUM(J126:J131)</f>
        <v>109</v>
      </c>
      <c r="K132" s="52">
        <f>SUM(K126:K131)</f>
        <v>95.6</v>
      </c>
      <c r="L132" s="54">
        <f>SUM(L126:L131)</f>
        <v>192</v>
      </c>
      <c r="M132" s="52">
        <f>SUM(M126:M131)</f>
        <v>3488</v>
      </c>
      <c r="N132" s="52">
        <f>SUM(N126:N131)</f>
        <v>3059.2</v>
      </c>
      <c r="O132" s="52"/>
    </row>
    <row r="133" spans="1:15" ht="14.25">
      <c r="A133" s="88" t="s">
        <v>444</v>
      </c>
      <c r="B133" s="65"/>
      <c r="C133" s="129"/>
      <c r="D133" s="109"/>
      <c r="E133" s="109"/>
      <c r="F133" s="95"/>
      <c r="G133" s="109"/>
      <c r="H133" s="109"/>
      <c r="I133" s="109"/>
      <c r="J133" s="70"/>
      <c r="K133" s="111"/>
      <c r="L133" s="72"/>
      <c r="M133" s="75"/>
      <c r="N133" s="75"/>
      <c r="O133" s="72"/>
    </row>
    <row r="134" spans="1:15" ht="14.25">
      <c r="A134" s="88" t="s">
        <v>443</v>
      </c>
      <c r="B134" s="65"/>
      <c r="C134" s="129"/>
      <c r="D134" s="109"/>
      <c r="E134" s="109"/>
      <c r="F134" s="95"/>
      <c r="G134" s="109"/>
      <c r="H134" s="109"/>
      <c r="I134" s="109"/>
      <c r="J134" s="70"/>
      <c r="K134" s="111"/>
      <c r="L134" s="72"/>
      <c r="M134" s="75"/>
      <c r="N134" s="75"/>
      <c r="O134" s="72"/>
    </row>
    <row r="135" spans="1:15">
      <c r="A135" s="64"/>
      <c r="B135" s="65"/>
      <c r="C135" s="129"/>
      <c r="D135" s="109"/>
      <c r="E135" s="109"/>
      <c r="F135" s="95"/>
      <c r="G135" s="109"/>
      <c r="H135" s="109"/>
      <c r="I135" s="109"/>
      <c r="J135" s="70"/>
      <c r="K135" s="111"/>
      <c r="L135" s="72"/>
      <c r="M135" s="75"/>
      <c r="N135" s="75"/>
      <c r="O135" s="72"/>
    </row>
    <row r="136" spans="1:15">
      <c r="A136" s="64"/>
      <c r="B136" s="65"/>
      <c r="C136" s="129"/>
      <c r="D136" s="109"/>
      <c r="E136" s="109"/>
      <c r="F136" s="95"/>
      <c r="G136" s="109"/>
      <c r="H136" s="109"/>
      <c r="I136" s="109"/>
      <c r="J136" s="70"/>
      <c r="K136" s="111"/>
      <c r="L136" s="72"/>
      <c r="M136" s="75"/>
      <c r="N136" s="75"/>
      <c r="O136" s="72"/>
    </row>
    <row r="137" spans="1:15">
      <c r="A137" s="64"/>
      <c r="B137" s="65"/>
      <c r="C137" s="129"/>
      <c r="D137" s="109"/>
      <c r="E137" s="109"/>
      <c r="F137" s="95"/>
      <c r="G137" s="109"/>
      <c r="H137" s="109"/>
      <c r="I137" s="109"/>
      <c r="J137" s="70"/>
      <c r="K137" s="111"/>
      <c r="L137" s="72"/>
      <c r="M137" s="75"/>
      <c r="N137" s="75"/>
      <c r="O137" s="72"/>
    </row>
    <row r="138" spans="1:15">
      <c r="A138" s="64"/>
      <c r="B138" s="65"/>
      <c r="C138" s="129"/>
      <c r="D138" s="109"/>
      <c r="E138" s="109"/>
      <c r="F138" s="95"/>
      <c r="G138" s="109"/>
      <c r="H138" s="109"/>
      <c r="I138" s="109"/>
      <c r="J138" s="70"/>
      <c r="K138" s="111"/>
      <c r="L138" s="72"/>
      <c r="M138" s="75"/>
      <c r="N138" s="75"/>
      <c r="O138" s="72"/>
    </row>
    <row r="139" spans="1:15">
      <c r="A139" s="64"/>
      <c r="B139" s="65"/>
      <c r="C139" s="129"/>
      <c r="D139" s="109"/>
      <c r="E139" s="109"/>
      <c r="F139" s="95"/>
      <c r="G139" s="109"/>
      <c r="H139" s="109"/>
      <c r="I139" s="109"/>
      <c r="J139" s="70"/>
      <c r="K139" s="111"/>
      <c r="L139" s="72"/>
      <c r="M139" s="75"/>
      <c r="N139" s="75"/>
      <c r="O139" s="72"/>
    </row>
    <row r="140" spans="1:15">
      <c r="A140" s="64"/>
      <c r="B140" s="65"/>
      <c r="C140" s="129"/>
      <c r="D140" s="109"/>
      <c r="E140" s="109"/>
      <c r="F140" s="95"/>
      <c r="G140" s="109"/>
      <c r="H140" s="109"/>
      <c r="I140" s="109"/>
      <c r="J140" s="70"/>
      <c r="K140" s="111"/>
      <c r="L140" s="72"/>
      <c r="M140" s="75"/>
      <c r="N140" s="75"/>
      <c r="O140" s="72"/>
    </row>
    <row r="141" spans="1:15">
      <c r="A141" s="64"/>
      <c r="B141" s="65"/>
      <c r="C141" s="129"/>
      <c r="D141" s="109"/>
      <c r="E141" s="109"/>
      <c r="F141" s="95"/>
      <c r="G141" s="109"/>
      <c r="H141" s="109"/>
      <c r="I141" s="109"/>
      <c r="J141" s="70"/>
      <c r="K141" s="111"/>
      <c r="L141" s="72"/>
      <c r="M141" s="75"/>
      <c r="N141" s="75"/>
      <c r="O141" s="72"/>
    </row>
    <row r="142" spans="1:15">
      <c r="A142" s="64"/>
      <c r="B142" s="65"/>
      <c r="C142" s="129"/>
      <c r="D142" s="109"/>
      <c r="E142" s="109"/>
      <c r="F142" s="95"/>
      <c r="G142" s="109"/>
      <c r="H142" s="109"/>
      <c r="I142" s="109"/>
      <c r="J142" s="70"/>
      <c r="K142" s="111"/>
      <c r="L142" s="72"/>
      <c r="M142" s="75"/>
      <c r="N142" s="75"/>
      <c r="O142" s="72"/>
    </row>
    <row r="143" spans="1:15">
      <c r="A143" s="25" t="s">
        <v>76</v>
      </c>
      <c r="B143" s="7" t="s">
        <v>1</v>
      </c>
      <c r="C143" s="7" t="s">
        <v>284</v>
      </c>
      <c r="D143" s="27" t="s">
        <v>0</v>
      </c>
      <c r="E143" s="27" t="s">
        <v>3</v>
      </c>
      <c r="F143" s="27" t="s">
        <v>4</v>
      </c>
      <c r="G143" s="28" t="s">
        <v>5</v>
      </c>
      <c r="H143" s="27" t="s">
        <v>6</v>
      </c>
      <c r="I143" s="27" t="s">
        <v>7</v>
      </c>
      <c r="J143" s="27" t="s">
        <v>8</v>
      </c>
      <c r="K143" s="27" t="s">
        <v>451</v>
      </c>
      <c r="L143" s="29" t="s">
        <v>393</v>
      </c>
      <c r="M143" s="73" t="s">
        <v>394</v>
      </c>
      <c r="N143" s="73" t="s">
        <v>395</v>
      </c>
      <c r="O143" s="29" t="s">
        <v>9</v>
      </c>
    </row>
    <row r="144" spans="1:15">
      <c r="A144" s="25" t="s">
        <v>83</v>
      </c>
      <c r="B144" s="7" t="s">
        <v>19</v>
      </c>
      <c r="C144" s="6" t="s">
        <v>68</v>
      </c>
      <c r="D144" s="8" t="str">
        <f>"PO1508060070"</f>
        <v>PO1508060070</v>
      </c>
      <c r="E144" s="8" t="str">
        <f>"9787562929505"</f>
        <v>9787562929505</v>
      </c>
      <c r="F144" s="21" t="s">
        <v>160</v>
      </c>
      <c r="G144" s="8" t="s">
        <v>159</v>
      </c>
      <c r="H144" s="9" t="s">
        <v>158</v>
      </c>
      <c r="I144" s="8" t="s">
        <v>157</v>
      </c>
      <c r="J144" s="10">
        <v>29</v>
      </c>
      <c r="K144" s="10">
        <f>J144*0.8</f>
        <v>23.200000000000003</v>
      </c>
      <c r="L144" s="12">
        <v>26</v>
      </c>
      <c r="M144" s="74">
        <f t="shared" ref="M144:M149" si="12">J144*L144</f>
        <v>754</v>
      </c>
      <c r="N144" s="74">
        <f>M144*0.8</f>
        <v>603.20000000000005</v>
      </c>
      <c r="O144" s="12">
        <v>80</v>
      </c>
    </row>
    <row r="145" spans="1:15">
      <c r="A145" s="25" t="s">
        <v>83</v>
      </c>
      <c r="B145" s="7" t="s">
        <v>19</v>
      </c>
      <c r="C145" s="6" t="s">
        <v>68</v>
      </c>
      <c r="D145" s="8" t="str">
        <f>"PO1508060070"</f>
        <v>PO1508060070</v>
      </c>
      <c r="E145" s="8" t="str">
        <f>"9787030254993"</f>
        <v>9787030254993</v>
      </c>
      <c r="F145" s="21" t="s">
        <v>156</v>
      </c>
      <c r="G145" s="8" t="s">
        <v>84</v>
      </c>
      <c r="H145" s="9" t="s">
        <v>155</v>
      </c>
      <c r="I145" s="8" t="s">
        <v>154</v>
      </c>
      <c r="J145" s="10">
        <v>38</v>
      </c>
      <c r="K145" s="10">
        <f>J145*0.8</f>
        <v>30.400000000000002</v>
      </c>
      <c r="L145" s="12">
        <v>26</v>
      </c>
      <c r="M145" s="74">
        <f t="shared" si="12"/>
        <v>988</v>
      </c>
      <c r="N145" s="74">
        <f>M145*0.8</f>
        <v>790.40000000000009</v>
      </c>
      <c r="O145" s="12">
        <v>80</v>
      </c>
    </row>
    <row r="146" spans="1:15">
      <c r="A146" s="25" t="s">
        <v>75</v>
      </c>
      <c r="B146" s="7" t="s">
        <v>19</v>
      </c>
      <c r="C146" s="6" t="s">
        <v>68</v>
      </c>
      <c r="D146" s="4" t="s">
        <v>377</v>
      </c>
      <c r="E146" s="4" t="s">
        <v>376</v>
      </c>
      <c r="F146" s="33" t="s">
        <v>386</v>
      </c>
      <c r="G146" s="4" t="s">
        <v>376</v>
      </c>
      <c r="H146" s="4" t="s">
        <v>375</v>
      </c>
      <c r="I146" s="4" t="s">
        <v>376</v>
      </c>
      <c r="J146" s="30">
        <v>5</v>
      </c>
      <c r="K146" s="30">
        <f>J146*1</f>
        <v>5</v>
      </c>
      <c r="L146" s="12">
        <v>26</v>
      </c>
      <c r="M146" s="74">
        <f t="shared" si="12"/>
        <v>130</v>
      </c>
      <c r="N146" s="74">
        <f>M146*1</f>
        <v>130</v>
      </c>
      <c r="O146" s="12">
        <v>100</v>
      </c>
    </row>
    <row r="147" spans="1:15">
      <c r="A147" s="25" t="s">
        <v>75</v>
      </c>
      <c r="B147" s="7" t="s">
        <v>19</v>
      </c>
      <c r="C147" s="6" t="s">
        <v>68</v>
      </c>
      <c r="D147" s="4" t="s">
        <v>377</v>
      </c>
      <c r="E147" s="4" t="s">
        <v>376</v>
      </c>
      <c r="F147" s="21" t="s">
        <v>379</v>
      </c>
      <c r="G147" s="4" t="s">
        <v>376</v>
      </c>
      <c r="H147" s="4" t="s">
        <v>375</v>
      </c>
      <c r="I147" s="4" t="s">
        <v>382</v>
      </c>
      <c r="J147" s="10">
        <v>16.399999999999999</v>
      </c>
      <c r="K147" s="30">
        <f>J147*1</f>
        <v>16.399999999999999</v>
      </c>
      <c r="L147" s="12">
        <v>26</v>
      </c>
      <c r="M147" s="74">
        <f t="shared" si="12"/>
        <v>426.4</v>
      </c>
      <c r="N147" s="74">
        <f>M147*1</f>
        <v>426.4</v>
      </c>
      <c r="O147" s="12">
        <v>100</v>
      </c>
    </row>
    <row r="148" spans="1:15">
      <c r="A148" s="25" t="s">
        <v>75</v>
      </c>
      <c r="B148" s="7" t="s">
        <v>19</v>
      </c>
      <c r="C148" s="6" t="s">
        <v>68</v>
      </c>
      <c r="D148" s="4" t="s">
        <v>377</v>
      </c>
      <c r="E148" s="4" t="s">
        <v>376</v>
      </c>
      <c r="F148" s="21" t="s">
        <v>380</v>
      </c>
      <c r="G148" s="4" t="s">
        <v>376</v>
      </c>
      <c r="H148" s="4" t="s">
        <v>375</v>
      </c>
      <c r="I148" s="4" t="s">
        <v>382</v>
      </c>
      <c r="J148" s="10">
        <v>12</v>
      </c>
      <c r="K148" s="30">
        <f>J148*1</f>
        <v>12</v>
      </c>
      <c r="L148" s="12">
        <v>26</v>
      </c>
      <c r="M148" s="74">
        <f t="shared" si="12"/>
        <v>312</v>
      </c>
      <c r="N148" s="74">
        <f>M148*1</f>
        <v>312</v>
      </c>
      <c r="O148" s="12">
        <v>100</v>
      </c>
    </row>
    <row r="149" spans="1:15">
      <c r="A149" s="25" t="s">
        <v>75</v>
      </c>
      <c r="B149" s="7" t="s">
        <v>19</v>
      </c>
      <c r="C149" s="6" t="s">
        <v>68</v>
      </c>
      <c r="D149" s="4" t="s">
        <v>377</v>
      </c>
      <c r="E149" s="4" t="s">
        <v>376</v>
      </c>
      <c r="F149" s="21" t="s">
        <v>381</v>
      </c>
      <c r="G149" s="4" t="s">
        <v>376</v>
      </c>
      <c r="H149" s="4" t="s">
        <v>375</v>
      </c>
      <c r="I149" s="4" t="s">
        <v>382</v>
      </c>
      <c r="J149" s="10">
        <v>8.6</v>
      </c>
      <c r="K149" s="30">
        <f>J149*1</f>
        <v>8.6</v>
      </c>
      <c r="L149" s="12">
        <v>26</v>
      </c>
      <c r="M149" s="74">
        <f t="shared" si="12"/>
        <v>223.6</v>
      </c>
      <c r="N149" s="74">
        <f>M149*1</f>
        <v>223.6</v>
      </c>
      <c r="O149" s="12">
        <v>100</v>
      </c>
    </row>
    <row r="150" spans="1:15">
      <c r="A150" s="152" t="s">
        <v>452</v>
      </c>
      <c r="B150" s="153"/>
      <c r="C150" s="153"/>
      <c r="D150" s="153"/>
      <c r="E150" s="153"/>
      <c r="F150" s="153"/>
      <c r="G150" s="153"/>
      <c r="H150" s="153"/>
      <c r="I150" s="154"/>
      <c r="J150" s="52">
        <f>SUM(J144:J149)</f>
        <v>109</v>
      </c>
      <c r="K150" s="52">
        <f>SUM(K144:K149)</f>
        <v>95.6</v>
      </c>
      <c r="L150" s="54">
        <f>SUM(L144:L149)</f>
        <v>156</v>
      </c>
      <c r="M150" s="52">
        <f>SUM(M144:M149)</f>
        <v>2834</v>
      </c>
      <c r="N150" s="52">
        <f>SUM(N144:N149)</f>
        <v>2485.6</v>
      </c>
      <c r="O150" s="54"/>
    </row>
    <row r="151" spans="1:15" ht="14.25">
      <c r="A151" s="88" t="s">
        <v>444</v>
      </c>
      <c r="B151" s="65"/>
      <c r="C151" s="129"/>
      <c r="D151" s="109"/>
      <c r="E151" s="109"/>
      <c r="F151" s="95"/>
      <c r="G151" s="109"/>
      <c r="H151" s="109"/>
      <c r="I151" s="109"/>
      <c r="J151" s="70"/>
      <c r="K151" s="111"/>
      <c r="L151" s="72"/>
      <c r="M151" s="75"/>
      <c r="N151" s="75"/>
      <c r="O151" s="72"/>
    </row>
    <row r="152" spans="1:15" ht="14.25">
      <c r="A152" s="88" t="s">
        <v>443</v>
      </c>
      <c r="B152" s="65"/>
      <c r="C152" s="129"/>
      <c r="D152" s="109"/>
      <c r="E152" s="109"/>
      <c r="F152" s="95"/>
      <c r="G152" s="109"/>
      <c r="H152" s="109"/>
      <c r="I152" s="109"/>
      <c r="J152" s="70"/>
      <c r="K152" s="111"/>
      <c r="L152" s="72"/>
      <c r="M152" s="75"/>
      <c r="N152" s="75"/>
      <c r="O152" s="72"/>
    </row>
    <row r="153" spans="1:15">
      <c r="A153" s="64"/>
      <c r="B153" s="65"/>
      <c r="C153" s="129"/>
      <c r="D153" s="109"/>
      <c r="E153" s="109"/>
      <c r="F153" s="95"/>
      <c r="G153" s="109"/>
      <c r="H153" s="109"/>
      <c r="I153" s="109"/>
      <c r="J153" s="70"/>
      <c r="K153" s="111"/>
      <c r="L153" s="72"/>
      <c r="M153" s="75"/>
      <c r="N153" s="75"/>
      <c r="O153" s="72"/>
    </row>
    <row r="154" spans="1:15">
      <c r="A154" s="64"/>
      <c r="B154" s="65"/>
      <c r="C154" s="129"/>
      <c r="D154" s="109"/>
      <c r="E154" s="109"/>
      <c r="F154" s="95"/>
      <c r="G154" s="109"/>
      <c r="H154" s="109"/>
      <c r="I154" s="109"/>
      <c r="J154" s="70"/>
      <c r="K154" s="111"/>
      <c r="L154" s="72"/>
      <c r="M154" s="75"/>
      <c r="N154" s="75"/>
      <c r="O154" s="72"/>
    </row>
    <row r="155" spans="1:15">
      <c r="A155" s="64"/>
      <c r="B155" s="65"/>
      <c r="C155" s="129"/>
      <c r="D155" s="109"/>
      <c r="E155" s="109"/>
      <c r="F155" s="95"/>
      <c r="G155" s="109"/>
      <c r="H155" s="109"/>
      <c r="I155" s="109"/>
      <c r="J155" s="70"/>
      <c r="K155" s="111"/>
      <c r="L155" s="72"/>
      <c r="M155" s="75"/>
      <c r="N155" s="75"/>
      <c r="O155" s="72"/>
    </row>
    <row r="156" spans="1:15">
      <c r="A156" s="64"/>
      <c r="B156" s="65"/>
      <c r="C156" s="129"/>
      <c r="D156" s="109"/>
      <c r="E156" s="109"/>
      <c r="F156" s="110"/>
      <c r="G156" s="109"/>
      <c r="H156" s="109"/>
      <c r="I156" s="109"/>
      <c r="J156" s="111"/>
      <c r="K156" s="111"/>
      <c r="L156" s="72"/>
      <c r="M156" s="75"/>
      <c r="N156" s="75"/>
      <c r="O156" s="72"/>
    </row>
    <row r="157" spans="1:15">
      <c r="A157" s="64"/>
      <c r="B157" s="65"/>
      <c r="C157" s="129"/>
      <c r="D157" s="109"/>
      <c r="E157" s="109"/>
      <c r="F157" s="110"/>
      <c r="G157" s="109"/>
      <c r="H157" s="109"/>
      <c r="I157" s="109"/>
      <c r="J157" s="111"/>
      <c r="K157" s="111"/>
      <c r="L157" s="72"/>
      <c r="M157" s="75"/>
      <c r="N157" s="75"/>
      <c r="O157" s="72"/>
    </row>
    <row r="158" spans="1:15">
      <c r="A158" s="64"/>
      <c r="B158" s="65"/>
      <c r="C158" s="129"/>
      <c r="D158" s="109"/>
      <c r="E158" s="109"/>
      <c r="F158" s="110"/>
      <c r="G158" s="109"/>
      <c r="H158" s="109"/>
      <c r="I158" s="109"/>
      <c r="J158" s="111"/>
      <c r="K158" s="111"/>
      <c r="L158" s="72"/>
      <c r="M158" s="75"/>
      <c r="N158" s="75"/>
      <c r="O158" s="72"/>
    </row>
    <row r="159" spans="1:15">
      <c r="A159" s="64"/>
      <c r="B159" s="65"/>
      <c r="C159" s="129"/>
      <c r="D159" s="109"/>
      <c r="E159" s="109"/>
      <c r="F159" s="110"/>
      <c r="G159" s="109"/>
      <c r="H159" s="109"/>
      <c r="I159" s="109"/>
      <c r="J159" s="111"/>
      <c r="K159" s="111"/>
      <c r="L159" s="72"/>
      <c r="M159" s="75"/>
      <c r="N159" s="75"/>
      <c r="O159" s="72"/>
    </row>
    <row r="160" spans="1:15">
      <c r="A160" s="64"/>
      <c r="B160" s="65"/>
      <c r="C160" s="129"/>
      <c r="D160" s="109"/>
      <c r="E160" s="109"/>
      <c r="F160" s="110"/>
      <c r="G160" s="109"/>
      <c r="H160" s="109"/>
      <c r="I160" s="109"/>
      <c r="J160" s="111"/>
      <c r="K160" s="111"/>
      <c r="L160" s="72"/>
      <c r="M160" s="75"/>
      <c r="N160" s="75"/>
      <c r="O160" s="72"/>
    </row>
    <row r="161" spans="1:15">
      <c r="A161" s="25" t="s">
        <v>76</v>
      </c>
      <c r="B161" s="7" t="s">
        <v>1</v>
      </c>
      <c r="C161" s="7" t="s">
        <v>284</v>
      </c>
      <c r="D161" s="27" t="s">
        <v>0</v>
      </c>
      <c r="E161" s="27" t="s">
        <v>3</v>
      </c>
      <c r="F161" s="27" t="s">
        <v>4</v>
      </c>
      <c r="G161" s="28" t="s">
        <v>5</v>
      </c>
      <c r="H161" s="27" t="s">
        <v>6</v>
      </c>
      <c r="I161" s="27" t="s">
        <v>7</v>
      </c>
      <c r="J161" s="27" t="s">
        <v>8</v>
      </c>
      <c r="K161" s="27" t="s">
        <v>451</v>
      </c>
      <c r="L161" s="29" t="s">
        <v>393</v>
      </c>
      <c r="M161" s="73" t="s">
        <v>394</v>
      </c>
      <c r="N161" s="73" t="s">
        <v>395</v>
      </c>
      <c r="O161" s="29" t="s">
        <v>9</v>
      </c>
    </row>
    <row r="162" spans="1:15">
      <c r="A162" s="25" t="s">
        <v>83</v>
      </c>
      <c r="B162" s="7" t="s">
        <v>30</v>
      </c>
      <c r="C162" s="6" t="s">
        <v>70</v>
      </c>
      <c r="D162" s="8" t="str">
        <f>"PO1508060072"</f>
        <v>PO1508060072</v>
      </c>
      <c r="E162" s="8" t="str">
        <f>"9787122080677"</f>
        <v>9787122080677</v>
      </c>
      <c r="F162" s="21" t="s">
        <v>128</v>
      </c>
      <c r="G162" s="8" t="s">
        <v>127</v>
      </c>
      <c r="H162" s="9" t="s">
        <v>126</v>
      </c>
      <c r="I162" s="8" t="s">
        <v>125</v>
      </c>
      <c r="J162" s="10">
        <v>24</v>
      </c>
      <c r="K162" s="10">
        <f>J162*0.8</f>
        <v>19.200000000000003</v>
      </c>
      <c r="L162" s="12">
        <v>34</v>
      </c>
      <c r="M162" s="74">
        <f t="shared" ref="M162:M168" si="13">J162*L162</f>
        <v>816</v>
      </c>
      <c r="N162" s="74">
        <f>M162*0.8</f>
        <v>652.80000000000007</v>
      </c>
      <c r="O162" s="12">
        <v>80</v>
      </c>
    </row>
    <row r="163" spans="1:15">
      <c r="A163" s="25" t="s">
        <v>80</v>
      </c>
      <c r="B163" s="7" t="s">
        <v>30</v>
      </c>
      <c r="C163" s="6" t="s">
        <v>70</v>
      </c>
      <c r="D163" s="8" t="str">
        <f>"PO1508060072"</f>
        <v>PO1508060072</v>
      </c>
      <c r="E163" s="8" t="str">
        <f>"9787811179453.001"</f>
        <v>9787811179453.001</v>
      </c>
      <c r="F163" s="21" t="s">
        <v>124</v>
      </c>
      <c r="G163" s="8" t="s">
        <v>91</v>
      </c>
      <c r="H163" s="9" t="s">
        <v>123</v>
      </c>
      <c r="I163" s="8" t="s">
        <v>122</v>
      </c>
      <c r="J163" s="10">
        <v>34</v>
      </c>
      <c r="K163" s="10">
        <f>J163*0.8</f>
        <v>27.200000000000003</v>
      </c>
      <c r="L163" s="12">
        <v>34</v>
      </c>
      <c r="M163" s="74">
        <f t="shared" si="13"/>
        <v>1156</v>
      </c>
      <c r="N163" s="74">
        <f>M163*0.8</f>
        <v>924.80000000000007</v>
      </c>
      <c r="O163" s="12">
        <v>80</v>
      </c>
    </row>
    <row r="164" spans="1:15">
      <c r="A164" s="25" t="s">
        <v>83</v>
      </c>
      <c r="B164" s="7" t="s">
        <v>30</v>
      </c>
      <c r="C164" s="6" t="s">
        <v>70</v>
      </c>
      <c r="D164" s="8" t="str">
        <f>"PO1508180120"</f>
        <v>PO1508180120</v>
      </c>
      <c r="E164" s="8" t="str">
        <f>"9787504662910"</f>
        <v>9787504662910</v>
      </c>
      <c r="F164" s="21" t="s">
        <v>104</v>
      </c>
      <c r="G164" s="8" t="s">
        <v>103</v>
      </c>
      <c r="H164" s="9" t="s">
        <v>102</v>
      </c>
      <c r="I164" s="8" t="s">
        <v>101</v>
      </c>
      <c r="J164" s="10">
        <v>28</v>
      </c>
      <c r="K164" s="10">
        <f>J164*0.8</f>
        <v>22.400000000000002</v>
      </c>
      <c r="L164" s="12">
        <v>34</v>
      </c>
      <c r="M164" s="74">
        <f t="shared" si="13"/>
        <v>952</v>
      </c>
      <c r="N164" s="74">
        <f>M164*0.8</f>
        <v>761.6</v>
      </c>
      <c r="O164" s="12">
        <v>80</v>
      </c>
    </row>
    <row r="165" spans="1:15">
      <c r="A165" s="25" t="s">
        <v>83</v>
      </c>
      <c r="B165" s="7" t="s">
        <v>30</v>
      </c>
      <c r="C165" s="6" t="s">
        <v>70</v>
      </c>
      <c r="D165" s="8" t="str">
        <f>"PO1508180120"</f>
        <v>PO1508180120</v>
      </c>
      <c r="E165" s="8" t="str">
        <f>"9787565503108"</f>
        <v>9787565503108</v>
      </c>
      <c r="F165" s="21" t="s">
        <v>92</v>
      </c>
      <c r="G165" s="8" t="s">
        <v>91</v>
      </c>
      <c r="H165" s="9" t="s">
        <v>90</v>
      </c>
      <c r="I165" s="8" t="s">
        <v>89</v>
      </c>
      <c r="J165" s="10">
        <v>32</v>
      </c>
      <c r="K165" s="10">
        <f>J165*0.8</f>
        <v>25.6</v>
      </c>
      <c r="L165" s="12">
        <v>34</v>
      </c>
      <c r="M165" s="74">
        <f t="shared" si="13"/>
        <v>1088</v>
      </c>
      <c r="N165" s="74">
        <f>M165*0.8</f>
        <v>870.40000000000009</v>
      </c>
      <c r="O165" s="12">
        <v>80</v>
      </c>
    </row>
    <row r="166" spans="1:15">
      <c r="A166" s="25" t="s">
        <v>75</v>
      </c>
      <c r="B166" s="7" t="s">
        <v>30</v>
      </c>
      <c r="C166" s="6" t="s">
        <v>70</v>
      </c>
      <c r="D166" s="4" t="s">
        <v>377</v>
      </c>
      <c r="E166" s="4" t="s">
        <v>376</v>
      </c>
      <c r="F166" s="33" t="s">
        <v>386</v>
      </c>
      <c r="G166" s="4" t="s">
        <v>376</v>
      </c>
      <c r="H166" s="4" t="s">
        <v>375</v>
      </c>
      <c r="I166" s="4" t="s">
        <v>376</v>
      </c>
      <c r="J166" s="30">
        <v>5</v>
      </c>
      <c r="K166" s="30">
        <f>J166*1</f>
        <v>5</v>
      </c>
      <c r="L166" s="12">
        <v>34</v>
      </c>
      <c r="M166" s="74">
        <f t="shared" si="13"/>
        <v>170</v>
      </c>
      <c r="N166" s="74">
        <f>M166*1</f>
        <v>170</v>
      </c>
      <c r="O166" s="12">
        <v>100</v>
      </c>
    </row>
    <row r="167" spans="1:15">
      <c r="A167" s="25" t="s">
        <v>75</v>
      </c>
      <c r="B167" s="7" t="s">
        <v>30</v>
      </c>
      <c r="C167" s="6" t="s">
        <v>70</v>
      </c>
      <c r="D167" s="4" t="s">
        <v>377</v>
      </c>
      <c r="E167" s="4" t="s">
        <v>376</v>
      </c>
      <c r="F167" s="21" t="s">
        <v>379</v>
      </c>
      <c r="G167" s="4" t="s">
        <v>376</v>
      </c>
      <c r="H167" s="4" t="s">
        <v>375</v>
      </c>
      <c r="I167" s="4" t="s">
        <v>382</v>
      </c>
      <c r="J167" s="10">
        <v>16.399999999999999</v>
      </c>
      <c r="K167" s="30">
        <f>J167*1</f>
        <v>16.399999999999999</v>
      </c>
      <c r="L167" s="12">
        <v>34</v>
      </c>
      <c r="M167" s="74">
        <f t="shared" si="13"/>
        <v>557.59999999999991</v>
      </c>
      <c r="N167" s="74">
        <f>M167*1</f>
        <v>557.59999999999991</v>
      </c>
      <c r="O167" s="12">
        <v>100</v>
      </c>
    </row>
    <row r="168" spans="1:15">
      <c r="A168" s="25" t="s">
        <v>75</v>
      </c>
      <c r="B168" s="7" t="s">
        <v>30</v>
      </c>
      <c r="C168" s="6" t="s">
        <v>70</v>
      </c>
      <c r="D168" s="4" t="s">
        <v>377</v>
      </c>
      <c r="E168" s="4" t="s">
        <v>376</v>
      </c>
      <c r="F168" s="21" t="s">
        <v>380</v>
      </c>
      <c r="G168" s="4" t="s">
        <v>376</v>
      </c>
      <c r="H168" s="4" t="s">
        <v>375</v>
      </c>
      <c r="I168" s="4" t="s">
        <v>382</v>
      </c>
      <c r="J168" s="10">
        <v>12</v>
      </c>
      <c r="K168" s="30">
        <f>J168*1</f>
        <v>12</v>
      </c>
      <c r="L168" s="12">
        <v>34</v>
      </c>
      <c r="M168" s="74">
        <f t="shared" si="13"/>
        <v>408</v>
      </c>
      <c r="N168" s="74">
        <f>M168*1</f>
        <v>408</v>
      </c>
      <c r="O168" s="12">
        <v>100</v>
      </c>
    </row>
    <row r="169" spans="1:15">
      <c r="A169" s="152" t="s">
        <v>452</v>
      </c>
      <c r="B169" s="153"/>
      <c r="C169" s="153"/>
      <c r="D169" s="153"/>
      <c r="E169" s="153"/>
      <c r="F169" s="153"/>
      <c r="G169" s="153"/>
      <c r="H169" s="153"/>
      <c r="I169" s="154"/>
      <c r="J169" s="52">
        <f>SUM(J162:J168)</f>
        <v>151.4</v>
      </c>
      <c r="K169" s="52">
        <f>SUM(K162:K168)</f>
        <v>127.80000000000001</v>
      </c>
      <c r="L169" s="54">
        <f>SUM(L162:L168)</f>
        <v>238</v>
      </c>
      <c r="M169" s="52">
        <f>SUM(M162:M168)</f>
        <v>5147.6000000000004</v>
      </c>
      <c r="N169" s="52">
        <f>SUM(N162:N168)</f>
        <v>4345.2000000000007</v>
      </c>
      <c r="O169" s="54"/>
    </row>
    <row r="170" spans="1:15" ht="14.25">
      <c r="A170" s="88" t="s">
        <v>444</v>
      </c>
      <c r="B170" s="65"/>
      <c r="C170" s="129"/>
      <c r="D170" s="109"/>
      <c r="E170" s="109"/>
      <c r="F170" s="95"/>
      <c r="G170" s="109"/>
      <c r="H170" s="109"/>
      <c r="I170" s="109"/>
      <c r="J170" s="70"/>
      <c r="K170" s="111"/>
      <c r="L170" s="72"/>
      <c r="M170" s="75"/>
      <c r="N170" s="75"/>
      <c r="O170" s="72"/>
    </row>
    <row r="171" spans="1:15" ht="14.25">
      <c r="A171" s="88" t="s">
        <v>443</v>
      </c>
      <c r="B171" s="65"/>
      <c r="C171" s="129"/>
      <c r="D171" s="109"/>
      <c r="E171" s="109"/>
      <c r="F171" s="95"/>
      <c r="G171" s="109"/>
      <c r="H171" s="109"/>
      <c r="I171" s="109"/>
      <c r="J171" s="70"/>
      <c r="K171" s="111"/>
      <c r="L171" s="72"/>
      <c r="M171" s="75"/>
      <c r="N171" s="75"/>
      <c r="O171" s="72"/>
    </row>
    <row r="172" spans="1:15">
      <c r="A172" s="64"/>
      <c r="B172" s="65"/>
      <c r="C172" s="129"/>
      <c r="D172" s="109"/>
      <c r="E172" s="109"/>
      <c r="F172" s="95"/>
      <c r="G172" s="109"/>
      <c r="H172" s="109"/>
      <c r="I172" s="109"/>
      <c r="J172" s="70"/>
      <c r="K172" s="111"/>
      <c r="L172" s="72"/>
      <c r="M172" s="75"/>
      <c r="N172" s="75"/>
      <c r="O172" s="72"/>
    </row>
    <row r="173" spans="1:15">
      <c r="A173" s="64"/>
      <c r="B173" s="65"/>
      <c r="C173" s="129"/>
      <c r="D173" s="109"/>
      <c r="E173" s="109"/>
      <c r="F173" s="95"/>
      <c r="G173" s="109"/>
      <c r="H173" s="109"/>
      <c r="I173" s="109"/>
      <c r="J173" s="70"/>
      <c r="K173" s="111"/>
      <c r="L173" s="72"/>
      <c r="M173" s="75"/>
      <c r="N173" s="75"/>
      <c r="O173" s="72"/>
    </row>
    <row r="174" spans="1:15">
      <c r="A174" s="64"/>
      <c r="B174" s="65"/>
      <c r="C174" s="129"/>
      <c r="D174" s="109"/>
      <c r="E174" s="109"/>
      <c r="F174" s="95"/>
      <c r="G174" s="109"/>
      <c r="H174" s="109"/>
      <c r="I174" s="109"/>
      <c r="J174" s="70"/>
      <c r="K174" s="111"/>
      <c r="L174" s="72"/>
      <c r="M174" s="75"/>
      <c r="N174" s="75"/>
      <c r="O174" s="72"/>
    </row>
    <row r="175" spans="1:15">
      <c r="A175" s="64"/>
      <c r="B175" s="65"/>
      <c r="C175" s="129"/>
      <c r="D175" s="109"/>
      <c r="E175" s="109"/>
      <c r="F175" s="95"/>
      <c r="G175" s="109"/>
      <c r="H175" s="109"/>
      <c r="I175" s="109"/>
      <c r="J175" s="70"/>
      <c r="K175" s="111"/>
      <c r="L175" s="72"/>
      <c r="M175" s="75"/>
      <c r="N175" s="75"/>
      <c r="O175" s="72"/>
    </row>
    <row r="176" spans="1:15">
      <c r="A176" s="64"/>
      <c r="B176" s="65"/>
      <c r="C176" s="129"/>
      <c r="D176" s="109"/>
      <c r="E176" s="109"/>
      <c r="F176" s="95"/>
      <c r="G176" s="109"/>
      <c r="H176" s="109"/>
      <c r="I176" s="109"/>
      <c r="J176" s="70"/>
      <c r="K176" s="111"/>
      <c r="L176" s="72"/>
      <c r="M176" s="75"/>
      <c r="N176" s="75"/>
      <c r="O176" s="72"/>
    </row>
    <row r="177" spans="1:15">
      <c r="A177" s="64"/>
      <c r="B177" s="65"/>
      <c r="C177" s="129"/>
      <c r="D177" s="109"/>
      <c r="E177" s="109"/>
      <c r="F177" s="95"/>
      <c r="G177" s="109"/>
      <c r="H177" s="109"/>
      <c r="I177" s="109"/>
      <c r="J177" s="70"/>
      <c r="K177" s="111"/>
      <c r="L177" s="72"/>
      <c r="M177" s="75"/>
      <c r="N177" s="75"/>
      <c r="O177" s="72"/>
    </row>
    <row r="178" spans="1:15">
      <c r="A178" s="64"/>
      <c r="B178" s="65"/>
      <c r="C178" s="129"/>
      <c r="D178" s="109"/>
      <c r="E178" s="109"/>
      <c r="F178" s="95"/>
      <c r="G178" s="109"/>
      <c r="H178" s="109"/>
      <c r="I178" s="109"/>
      <c r="J178" s="70"/>
      <c r="K178" s="111"/>
      <c r="L178" s="72"/>
      <c r="M178" s="75"/>
      <c r="N178" s="75"/>
      <c r="O178" s="72"/>
    </row>
    <row r="179" spans="1:15">
      <c r="A179" s="64"/>
      <c r="B179" s="65"/>
      <c r="C179" s="129"/>
      <c r="D179" s="109"/>
      <c r="E179" s="109"/>
      <c r="F179" s="95"/>
      <c r="G179" s="109"/>
      <c r="H179" s="109"/>
      <c r="I179" s="109"/>
      <c r="J179" s="70"/>
      <c r="K179" s="111"/>
      <c r="L179" s="72"/>
      <c r="M179" s="75"/>
      <c r="N179" s="75"/>
      <c r="O179" s="72"/>
    </row>
    <row r="180" spans="1:15">
      <c r="A180" s="25" t="s">
        <v>76</v>
      </c>
      <c r="B180" s="7" t="s">
        <v>1</v>
      </c>
      <c r="C180" s="7" t="s">
        <v>284</v>
      </c>
      <c r="D180" s="27" t="s">
        <v>0</v>
      </c>
      <c r="E180" s="27" t="s">
        <v>3</v>
      </c>
      <c r="F180" s="27" t="s">
        <v>4</v>
      </c>
      <c r="G180" s="28" t="s">
        <v>5</v>
      </c>
      <c r="H180" s="27" t="s">
        <v>6</v>
      </c>
      <c r="I180" s="27" t="s">
        <v>7</v>
      </c>
      <c r="J180" s="27" t="s">
        <v>8</v>
      </c>
      <c r="K180" s="27" t="s">
        <v>451</v>
      </c>
      <c r="L180" s="29" t="s">
        <v>393</v>
      </c>
      <c r="M180" s="73" t="s">
        <v>394</v>
      </c>
      <c r="N180" s="73" t="s">
        <v>395</v>
      </c>
      <c r="O180" s="29" t="s">
        <v>9</v>
      </c>
    </row>
    <row r="181" spans="1:15">
      <c r="A181" s="25" t="s">
        <v>83</v>
      </c>
      <c r="B181" s="7" t="s">
        <v>31</v>
      </c>
      <c r="C181" s="6" t="s">
        <v>71</v>
      </c>
      <c r="D181" s="8" t="str">
        <f>"PO1508060073"</f>
        <v>PO1508060073</v>
      </c>
      <c r="E181" s="8" t="str">
        <f>"9787122084606"</f>
        <v>9787122084606</v>
      </c>
      <c r="F181" s="21" t="s">
        <v>131</v>
      </c>
      <c r="G181" s="8" t="s">
        <v>127</v>
      </c>
      <c r="H181" s="9" t="s">
        <v>130</v>
      </c>
      <c r="I181" s="8" t="s">
        <v>129</v>
      </c>
      <c r="J181" s="10">
        <v>20</v>
      </c>
      <c r="K181" s="10">
        <f>J181*0.8</f>
        <v>16</v>
      </c>
      <c r="L181" s="12">
        <v>34</v>
      </c>
      <c r="M181" s="74">
        <f t="shared" ref="M181:M187" si="14">J181*L181</f>
        <v>680</v>
      </c>
      <c r="N181" s="74">
        <f>M181*0.8</f>
        <v>544</v>
      </c>
      <c r="O181" s="12">
        <v>80</v>
      </c>
    </row>
    <row r="182" spans="1:15">
      <c r="A182" s="25" t="s">
        <v>83</v>
      </c>
      <c r="B182" s="7" t="s">
        <v>31</v>
      </c>
      <c r="C182" s="6" t="s">
        <v>71</v>
      </c>
      <c r="D182" s="8" t="str">
        <f>"PO1508060073"</f>
        <v>PO1508060073</v>
      </c>
      <c r="E182" s="8" t="str">
        <f>"9787122080677"</f>
        <v>9787122080677</v>
      </c>
      <c r="F182" s="21" t="s">
        <v>128</v>
      </c>
      <c r="G182" s="8" t="s">
        <v>127</v>
      </c>
      <c r="H182" s="9" t="s">
        <v>126</v>
      </c>
      <c r="I182" s="8" t="s">
        <v>125</v>
      </c>
      <c r="J182" s="10">
        <v>24</v>
      </c>
      <c r="K182" s="10">
        <f>J182*0.8</f>
        <v>19.200000000000003</v>
      </c>
      <c r="L182" s="12">
        <v>34</v>
      </c>
      <c r="M182" s="74">
        <f t="shared" si="14"/>
        <v>816</v>
      </c>
      <c r="N182" s="74">
        <f>M182*0.8</f>
        <v>652.80000000000007</v>
      </c>
      <c r="O182" s="12">
        <v>80</v>
      </c>
    </row>
    <row r="183" spans="1:15">
      <c r="A183" s="25" t="s">
        <v>83</v>
      </c>
      <c r="B183" s="7" t="s">
        <v>31</v>
      </c>
      <c r="C183" s="6" t="s">
        <v>71</v>
      </c>
      <c r="D183" s="8" t="str">
        <f>"PO1508060073"</f>
        <v>PO1508060073</v>
      </c>
      <c r="E183" s="8" t="str">
        <f>"9787811179453.001"</f>
        <v>9787811179453.001</v>
      </c>
      <c r="F183" s="21" t="s">
        <v>124</v>
      </c>
      <c r="G183" s="8" t="s">
        <v>91</v>
      </c>
      <c r="H183" s="9" t="s">
        <v>123</v>
      </c>
      <c r="I183" s="8" t="s">
        <v>122</v>
      </c>
      <c r="J183" s="10">
        <v>34</v>
      </c>
      <c r="K183" s="10">
        <f>J183*0.8</f>
        <v>27.200000000000003</v>
      </c>
      <c r="L183" s="12">
        <v>34</v>
      </c>
      <c r="M183" s="74">
        <f t="shared" si="14"/>
        <v>1156</v>
      </c>
      <c r="N183" s="74">
        <f>M183*0.8</f>
        <v>924.80000000000007</v>
      </c>
      <c r="O183" s="12">
        <v>80</v>
      </c>
    </row>
    <row r="184" spans="1:15">
      <c r="A184" s="25" t="s">
        <v>83</v>
      </c>
      <c r="B184" s="7" t="s">
        <v>31</v>
      </c>
      <c r="C184" s="6" t="s">
        <v>71</v>
      </c>
      <c r="D184" s="8" t="str">
        <f>"PO1508180122"</f>
        <v>PO1508180122</v>
      </c>
      <c r="E184" s="8" t="str">
        <f>"9787565503108"</f>
        <v>9787565503108</v>
      </c>
      <c r="F184" s="21" t="s">
        <v>92</v>
      </c>
      <c r="G184" s="8" t="s">
        <v>91</v>
      </c>
      <c r="H184" s="9" t="s">
        <v>90</v>
      </c>
      <c r="I184" s="8" t="s">
        <v>89</v>
      </c>
      <c r="J184" s="10">
        <v>32</v>
      </c>
      <c r="K184" s="10">
        <f>J184*0.8</f>
        <v>25.6</v>
      </c>
      <c r="L184" s="12">
        <v>34</v>
      </c>
      <c r="M184" s="74">
        <f t="shared" si="14"/>
        <v>1088</v>
      </c>
      <c r="N184" s="74">
        <f>M184*0.8</f>
        <v>870.40000000000009</v>
      </c>
      <c r="O184" s="12">
        <v>80</v>
      </c>
    </row>
    <row r="185" spans="1:15">
      <c r="A185" s="25" t="s">
        <v>75</v>
      </c>
      <c r="B185" s="7" t="s">
        <v>31</v>
      </c>
      <c r="C185" s="6" t="s">
        <v>71</v>
      </c>
      <c r="D185" s="4" t="s">
        <v>377</v>
      </c>
      <c r="E185" s="4" t="s">
        <v>376</v>
      </c>
      <c r="F185" s="33" t="s">
        <v>386</v>
      </c>
      <c r="G185" s="4" t="s">
        <v>376</v>
      </c>
      <c r="H185" s="4" t="s">
        <v>375</v>
      </c>
      <c r="I185" s="4" t="s">
        <v>376</v>
      </c>
      <c r="J185" s="30">
        <v>5</v>
      </c>
      <c r="K185" s="30">
        <f>J185*1</f>
        <v>5</v>
      </c>
      <c r="L185" s="12">
        <v>34</v>
      </c>
      <c r="M185" s="74">
        <f t="shared" si="14"/>
        <v>170</v>
      </c>
      <c r="N185" s="74">
        <f>M185*1</f>
        <v>170</v>
      </c>
      <c r="O185" s="12">
        <v>100</v>
      </c>
    </row>
    <row r="186" spans="1:15">
      <c r="A186" s="25" t="s">
        <v>75</v>
      </c>
      <c r="B186" s="7" t="s">
        <v>31</v>
      </c>
      <c r="C186" s="6" t="s">
        <v>71</v>
      </c>
      <c r="D186" s="4" t="s">
        <v>377</v>
      </c>
      <c r="E186" s="4" t="s">
        <v>376</v>
      </c>
      <c r="F186" s="21" t="s">
        <v>379</v>
      </c>
      <c r="G186" s="4" t="s">
        <v>376</v>
      </c>
      <c r="H186" s="4" t="s">
        <v>375</v>
      </c>
      <c r="I186" s="4" t="s">
        <v>382</v>
      </c>
      <c r="J186" s="10">
        <v>16.399999999999999</v>
      </c>
      <c r="K186" s="30">
        <f>J186*1</f>
        <v>16.399999999999999</v>
      </c>
      <c r="L186" s="12">
        <v>34</v>
      </c>
      <c r="M186" s="74">
        <f t="shared" si="14"/>
        <v>557.59999999999991</v>
      </c>
      <c r="N186" s="74">
        <f>M186*1</f>
        <v>557.59999999999991</v>
      </c>
      <c r="O186" s="12">
        <v>100</v>
      </c>
    </row>
    <row r="187" spans="1:15">
      <c r="A187" s="25" t="s">
        <v>75</v>
      </c>
      <c r="B187" s="7" t="s">
        <v>31</v>
      </c>
      <c r="C187" s="6" t="s">
        <v>71</v>
      </c>
      <c r="D187" s="4" t="s">
        <v>377</v>
      </c>
      <c r="E187" s="4" t="s">
        <v>376</v>
      </c>
      <c r="F187" s="21" t="s">
        <v>380</v>
      </c>
      <c r="G187" s="4" t="s">
        <v>376</v>
      </c>
      <c r="H187" s="4" t="s">
        <v>375</v>
      </c>
      <c r="I187" s="4" t="s">
        <v>382</v>
      </c>
      <c r="J187" s="10">
        <v>12</v>
      </c>
      <c r="K187" s="30">
        <f>J187*1</f>
        <v>12</v>
      </c>
      <c r="L187" s="12">
        <v>34</v>
      </c>
      <c r="M187" s="74">
        <f t="shared" si="14"/>
        <v>408</v>
      </c>
      <c r="N187" s="74">
        <f>M187*1</f>
        <v>408</v>
      </c>
      <c r="O187" s="12">
        <v>100</v>
      </c>
    </row>
    <row r="188" spans="1:15">
      <c r="A188" s="152" t="s">
        <v>452</v>
      </c>
      <c r="B188" s="153"/>
      <c r="C188" s="153"/>
      <c r="D188" s="153"/>
      <c r="E188" s="153"/>
      <c r="F188" s="153"/>
      <c r="G188" s="153"/>
      <c r="H188" s="153"/>
      <c r="I188" s="154"/>
      <c r="J188" s="52">
        <f>SUM(J181:J187)</f>
        <v>143.4</v>
      </c>
      <c r="K188" s="52">
        <f>SUM(K181:K187)</f>
        <v>121.4</v>
      </c>
      <c r="L188" s="54">
        <f>SUM(L181:L187)</f>
        <v>238</v>
      </c>
      <c r="M188" s="52">
        <f>SUM(M181:M187)</f>
        <v>4875.6000000000004</v>
      </c>
      <c r="N188" s="52">
        <f>SUM(N181:N187)</f>
        <v>4127.6000000000004</v>
      </c>
      <c r="O188" s="54"/>
    </row>
    <row r="189" spans="1:15" ht="14.25">
      <c r="A189" s="88" t="s">
        <v>444</v>
      </c>
      <c r="B189" s="65"/>
      <c r="C189" s="129"/>
      <c r="D189" s="109"/>
      <c r="E189" s="109"/>
      <c r="F189" s="95"/>
      <c r="G189" s="109"/>
      <c r="H189" s="109"/>
      <c r="I189" s="109"/>
      <c r="J189" s="70"/>
      <c r="K189" s="111"/>
      <c r="L189" s="72"/>
      <c r="M189" s="75"/>
      <c r="N189" s="75"/>
      <c r="O189" s="72"/>
    </row>
    <row r="190" spans="1:15" ht="14.25">
      <c r="A190" s="88" t="s">
        <v>443</v>
      </c>
      <c r="B190" s="65"/>
      <c r="C190" s="129"/>
      <c r="D190" s="109"/>
      <c r="E190" s="109"/>
      <c r="F190" s="95"/>
      <c r="G190" s="109"/>
      <c r="H190" s="109"/>
      <c r="I190" s="109"/>
      <c r="J190" s="70"/>
      <c r="K190" s="111"/>
      <c r="L190" s="72"/>
      <c r="M190" s="75"/>
      <c r="N190" s="75"/>
      <c r="O190" s="72"/>
    </row>
    <row r="191" spans="1:15">
      <c r="A191" s="64"/>
      <c r="B191" s="65"/>
      <c r="C191" s="129"/>
      <c r="D191" s="109"/>
      <c r="E191" s="109"/>
      <c r="F191" s="95"/>
      <c r="G191" s="109"/>
      <c r="H191" s="109"/>
      <c r="I191" s="109"/>
      <c r="J191" s="70"/>
      <c r="K191" s="111"/>
      <c r="L191" s="72"/>
      <c r="M191" s="75"/>
      <c r="N191" s="75"/>
      <c r="O191" s="72"/>
    </row>
    <row r="192" spans="1:15">
      <c r="A192" s="64"/>
      <c r="B192" s="65"/>
      <c r="C192" s="129"/>
      <c r="D192" s="109"/>
      <c r="E192" s="109"/>
      <c r="F192" s="95"/>
      <c r="G192" s="109"/>
      <c r="H192" s="109"/>
      <c r="I192" s="109"/>
      <c r="J192" s="70"/>
      <c r="K192" s="111"/>
      <c r="L192" s="72"/>
      <c r="M192" s="75"/>
      <c r="N192" s="75"/>
      <c r="O192" s="72"/>
    </row>
    <row r="193" spans="1:15">
      <c r="A193" s="64"/>
      <c r="B193" s="65"/>
      <c r="C193" s="129"/>
      <c r="D193" s="109"/>
      <c r="E193" s="109"/>
      <c r="F193" s="95"/>
      <c r="G193" s="109"/>
      <c r="H193" s="109"/>
      <c r="I193" s="109"/>
      <c r="J193" s="70"/>
      <c r="K193" s="111"/>
      <c r="L193" s="72"/>
      <c r="M193" s="75"/>
      <c r="N193" s="75"/>
      <c r="O193" s="72"/>
    </row>
    <row r="194" spans="1:15">
      <c r="A194" s="64"/>
      <c r="B194" s="65"/>
      <c r="C194" s="129"/>
      <c r="D194" s="109"/>
      <c r="E194" s="109"/>
      <c r="F194" s="95"/>
      <c r="G194" s="109"/>
      <c r="H194" s="109"/>
      <c r="I194" s="109"/>
      <c r="J194" s="70"/>
      <c r="K194" s="111"/>
      <c r="L194" s="72"/>
      <c r="M194" s="75"/>
      <c r="N194" s="75"/>
      <c r="O194" s="72"/>
    </row>
    <row r="195" spans="1:15">
      <c r="A195" s="64"/>
      <c r="B195" s="65"/>
      <c r="C195" s="129"/>
      <c r="D195" s="109"/>
      <c r="E195" s="109"/>
      <c r="F195" s="95"/>
      <c r="G195" s="109"/>
      <c r="H195" s="109"/>
      <c r="I195" s="109"/>
      <c r="J195" s="70"/>
      <c r="K195" s="111"/>
      <c r="L195" s="72"/>
      <c r="M195" s="75"/>
      <c r="N195" s="75"/>
      <c r="O195" s="72"/>
    </row>
    <row r="196" spans="1:15">
      <c r="A196" s="64"/>
      <c r="B196" s="65"/>
      <c r="C196" s="129"/>
      <c r="D196" s="109"/>
      <c r="E196" s="109"/>
      <c r="F196" s="95"/>
      <c r="G196" s="109"/>
      <c r="H196" s="109"/>
      <c r="I196" s="109"/>
      <c r="J196" s="70"/>
      <c r="K196" s="111"/>
      <c r="L196" s="72"/>
      <c r="M196" s="75"/>
      <c r="N196" s="75"/>
      <c r="O196" s="72"/>
    </row>
    <row r="197" spans="1:15">
      <c r="A197" s="64"/>
      <c r="B197" s="65"/>
      <c r="C197" s="129"/>
      <c r="D197" s="109"/>
      <c r="E197" s="109"/>
      <c r="F197" s="95"/>
      <c r="G197" s="109"/>
      <c r="H197" s="109"/>
      <c r="I197" s="109"/>
      <c r="J197" s="70"/>
      <c r="K197" s="111"/>
      <c r="L197" s="72"/>
      <c r="M197" s="75"/>
      <c r="N197" s="75"/>
      <c r="O197" s="72"/>
    </row>
    <row r="198" spans="1:15">
      <c r="A198" s="25" t="s">
        <v>76</v>
      </c>
      <c r="B198" s="7" t="s">
        <v>1</v>
      </c>
      <c r="C198" s="7" t="s">
        <v>284</v>
      </c>
      <c r="D198" s="27" t="s">
        <v>0</v>
      </c>
      <c r="E198" s="27" t="s">
        <v>3</v>
      </c>
      <c r="F198" s="27" t="s">
        <v>4</v>
      </c>
      <c r="G198" s="28" t="s">
        <v>5</v>
      </c>
      <c r="H198" s="27" t="s">
        <v>6</v>
      </c>
      <c r="I198" s="27" t="s">
        <v>7</v>
      </c>
      <c r="J198" s="27" t="s">
        <v>8</v>
      </c>
      <c r="K198" s="27" t="s">
        <v>451</v>
      </c>
      <c r="L198" s="29" t="s">
        <v>393</v>
      </c>
      <c r="M198" s="73" t="s">
        <v>394</v>
      </c>
      <c r="N198" s="73" t="s">
        <v>395</v>
      </c>
      <c r="O198" s="29" t="s">
        <v>9</v>
      </c>
    </row>
    <row r="199" spans="1:15">
      <c r="A199" s="25" t="s">
        <v>83</v>
      </c>
      <c r="B199" s="7" t="s">
        <v>14</v>
      </c>
      <c r="C199" s="6" t="s">
        <v>72</v>
      </c>
      <c r="D199" s="8" t="str">
        <f>"PO1508180121"</f>
        <v>PO1508180121</v>
      </c>
      <c r="E199" s="8" t="str">
        <f>"9787506738941"</f>
        <v>9787506738941</v>
      </c>
      <c r="F199" s="21" t="s">
        <v>117</v>
      </c>
      <c r="G199" s="8" t="s">
        <v>111</v>
      </c>
      <c r="H199" s="9" t="s">
        <v>116</v>
      </c>
      <c r="I199" s="8" t="s">
        <v>115</v>
      </c>
      <c r="J199" s="10">
        <v>40</v>
      </c>
      <c r="K199" s="10">
        <f>J199*0.8</f>
        <v>32</v>
      </c>
      <c r="L199" s="12">
        <v>38</v>
      </c>
      <c r="M199" s="74">
        <f>J199*L199</f>
        <v>1520</v>
      </c>
      <c r="N199" s="74">
        <f>M199*0.8</f>
        <v>1216</v>
      </c>
      <c r="O199" s="12">
        <v>80</v>
      </c>
    </row>
    <row r="200" spans="1:15">
      <c r="A200" s="25" t="s">
        <v>83</v>
      </c>
      <c r="B200" s="7" t="s">
        <v>14</v>
      </c>
      <c r="C200" s="6" t="s">
        <v>72</v>
      </c>
      <c r="D200" s="8" t="str">
        <f>"PO1508180121"</f>
        <v>PO1508180121</v>
      </c>
      <c r="E200" s="8" t="str">
        <f>"9787506757713"</f>
        <v>9787506757713</v>
      </c>
      <c r="F200" s="21" t="s">
        <v>112</v>
      </c>
      <c r="G200" s="8" t="s">
        <v>111</v>
      </c>
      <c r="H200" s="9" t="s">
        <v>110</v>
      </c>
      <c r="I200" s="8" t="s">
        <v>109</v>
      </c>
      <c r="J200" s="10">
        <v>45</v>
      </c>
      <c r="K200" s="10">
        <f>J200*0.8</f>
        <v>36</v>
      </c>
      <c r="L200" s="12">
        <v>38</v>
      </c>
      <c r="M200" s="74">
        <f>J200*L200</f>
        <v>1710</v>
      </c>
      <c r="N200" s="74">
        <f>M200*0.8</f>
        <v>1368</v>
      </c>
      <c r="O200" s="12">
        <v>80</v>
      </c>
    </row>
    <row r="201" spans="1:15">
      <c r="A201" s="25" t="s">
        <v>83</v>
      </c>
      <c r="B201" s="7" t="s">
        <v>14</v>
      </c>
      <c r="C201" s="6" t="s">
        <v>72</v>
      </c>
      <c r="D201" s="8" t="str">
        <f>"PO1508180121"</f>
        <v>PO1508180121</v>
      </c>
      <c r="E201" s="8" t="str">
        <f>"9787117144339"</f>
        <v>9787117144339</v>
      </c>
      <c r="F201" s="21" t="s">
        <v>96</v>
      </c>
      <c r="G201" s="8" t="s">
        <v>95</v>
      </c>
      <c r="H201" s="9" t="s">
        <v>94</v>
      </c>
      <c r="I201" s="8" t="s">
        <v>93</v>
      </c>
      <c r="J201" s="10">
        <v>49</v>
      </c>
      <c r="K201" s="10">
        <f>J201*0.8</f>
        <v>39.200000000000003</v>
      </c>
      <c r="L201" s="12">
        <v>38</v>
      </c>
      <c r="M201" s="74">
        <f>J201*L201</f>
        <v>1862</v>
      </c>
      <c r="N201" s="74">
        <f>M201*0.8</f>
        <v>1489.6000000000001</v>
      </c>
      <c r="O201" s="12">
        <v>80</v>
      </c>
    </row>
    <row r="202" spans="1:15">
      <c r="A202" s="25" t="s">
        <v>75</v>
      </c>
      <c r="B202" s="25" t="s">
        <v>367</v>
      </c>
      <c r="C202" s="2" t="s">
        <v>369</v>
      </c>
      <c r="D202" s="4" t="s">
        <v>377</v>
      </c>
      <c r="E202" s="4" t="s">
        <v>376</v>
      </c>
      <c r="F202" s="33" t="s">
        <v>386</v>
      </c>
      <c r="G202" s="4" t="s">
        <v>376</v>
      </c>
      <c r="H202" s="4" t="s">
        <v>375</v>
      </c>
      <c r="I202" s="4" t="s">
        <v>376</v>
      </c>
      <c r="J202" s="30">
        <v>5</v>
      </c>
      <c r="K202" s="30">
        <f>J202*1</f>
        <v>5</v>
      </c>
      <c r="L202" s="12">
        <v>38</v>
      </c>
      <c r="M202" s="74">
        <f>J202*L202</f>
        <v>190</v>
      </c>
      <c r="N202" s="74">
        <f>M202*1</f>
        <v>190</v>
      </c>
      <c r="O202" s="12">
        <v>100</v>
      </c>
    </row>
    <row r="203" spans="1:15">
      <c r="A203" s="25" t="s">
        <v>75</v>
      </c>
      <c r="B203" s="25" t="s">
        <v>370</v>
      </c>
      <c r="C203" s="2" t="s">
        <v>368</v>
      </c>
      <c r="D203" s="4" t="s">
        <v>377</v>
      </c>
      <c r="E203" s="4" t="s">
        <v>376</v>
      </c>
      <c r="F203" s="21" t="s">
        <v>379</v>
      </c>
      <c r="G203" s="4" t="s">
        <v>376</v>
      </c>
      <c r="H203" s="4" t="s">
        <v>375</v>
      </c>
      <c r="I203" s="4" t="s">
        <v>382</v>
      </c>
      <c r="J203" s="10">
        <v>16.399999999999999</v>
      </c>
      <c r="K203" s="30">
        <f>J203*1</f>
        <v>16.399999999999999</v>
      </c>
      <c r="L203" s="12">
        <v>38</v>
      </c>
      <c r="M203" s="74">
        <f>J203*L203</f>
        <v>623.19999999999993</v>
      </c>
      <c r="N203" s="74">
        <f>M203*1</f>
        <v>623.19999999999993</v>
      </c>
      <c r="O203" s="12">
        <v>100</v>
      </c>
    </row>
    <row r="204" spans="1:15">
      <c r="A204" s="152" t="s">
        <v>452</v>
      </c>
      <c r="B204" s="153"/>
      <c r="C204" s="153"/>
      <c r="D204" s="153"/>
      <c r="E204" s="153"/>
      <c r="F204" s="153"/>
      <c r="G204" s="153"/>
      <c r="H204" s="153"/>
      <c r="I204" s="154"/>
      <c r="J204" s="52">
        <f>SUM(J199:J203)</f>
        <v>155.4</v>
      </c>
      <c r="K204" s="52">
        <f>SUM(K199:K203)</f>
        <v>128.6</v>
      </c>
      <c r="L204" s="54">
        <f>SUM(L199:L203)</f>
        <v>190</v>
      </c>
      <c r="M204" s="52">
        <f>SUM(M199:M203)</f>
        <v>5905.2</v>
      </c>
      <c r="N204" s="52">
        <f>SUM(N199:N203)</f>
        <v>4886.8</v>
      </c>
      <c r="O204" s="54"/>
    </row>
    <row r="205" spans="1:15" ht="14.25">
      <c r="A205" s="88" t="s">
        <v>444</v>
      </c>
      <c r="B205" s="64"/>
      <c r="C205" s="96"/>
      <c r="D205" s="109"/>
      <c r="E205" s="109"/>
      <c r="F205" s="95"/>
      <c r="G205" s="109"/>
      <c r="H205" s="109"/>
      <c r="I205" s="109"/>
      <c r="J205" s="70"/>
      <c r="K205" s="111"/>
      <c r="L205" s="72"/>
      <c r="M205" s="75"/>
      <c r="N205" s="75"/>
      <c r="O205" s="72"/>
    </row>
    <row r="206" spans="1:15" ht="14.25">
      <c r="A206" s="88" t="s">
        <v>443</v>
      </c>
      <c r="B206" s="64"/>
      <c r="C206" s="96"/>
      <c r="D206" s="109"/>
      <c r="E206" s="109"/>
      <c r="F206" s="95"/>
      <c r="G206" s="109"/>
      <c r="H206" s="109"/>
      <c r="I206" s="109"/>
      <c r="J206" s="70"/>
      <c r="K206" s="111"/>
      <c r="L206" s="72"/>
      <c r="M206" s="75"/>
      <c r="N206" s="75"/>
      <c r="O206" s="72"/>
    </row>
    <row r="207" spans="1:15">
      <c r="A207" s="64"/>
      <c r="B207" s="64"/>
      <c r="C207" s="96"/>
      <c r="D207" s="109"/>
      <c r="E207" s="109"/>
      <c r="F207" s="95"/>
      <c r="G207" s="109"/>
      <c r="H207" s="109"/>
      <c r="I207" s="109"/>
      <c r="J207" s="70"/>
      <c r="K207" s="111"/>
      <c r="L207" s="72"/>
      <c r="M207" s="75"/>
      <c r="N207" s="75"/>
      <c r="O207" s="72"/>
    </row>
    <row r="208" spans="1:15">
      <c r="A208" s="64"/>
      <c r="B208" s="64"/>
      <c r="C208" s="96"/>
      <c r="D208" s="109"/>
      <c r="E208" s="109"/>
      <c r="F208" s="95"/>
      <c r="G208" s="109"/>
      <c r="H208" s="109"/>
      <c r="I208" s="109"/>
      <c r="J208" s="70"/>
      <c r="K208" s="111"/>
      <c r="L208" s="72"/>
      <c r="M208" s="75"/>
      <c r="N208" s="75"/>
      <c r="O208" s="72"/>
    </row>
    <row r="209" spans="1:15">
      <c r="A209" s="64"/>
      <c r="B209" s="64"/>
      <c r="C209" s="96"/>
      <c r="D209" s="109"/>
      <c r="E209" s="109"/>
      <c r="F209" s="95"/>
      <c r="G209" s="109"/>
      <c r="H209" s="109"/>
      <c r="I209" s="109"/>
      <c r="J209" s="70"/>
      <c r="K209" s="111"/>
      <c r="L209" s="72"/>
      <c r="M209" s="75"/>
      <c r="N209" s="75"/>
      <c r="O209" s="72"/>
    </row>
    <row r="210" spans="1:15" ht="12.75" customHeight="1">
      <c r="A210" s="64"/>
      <c r="B210" s="64"/>
      <c r="C210" s="96"/>
      <c r="D210" s="109"/>
      <c r="E210" s="109"/>
      <c r="F210" s="95"/>
      <c r="G210" s="109"/>
      <c r="H210" s="109"/>
      <c r="I210" s="109"/>
      <c r="J210" s="70"/>
      <c r="K210" s="111"/>
      <c r="L210" s="72"/>
      <c r="M210" s="75"/>
      <c r="N210" s="75"/>
      <c r="O210" s="72"/>
    </row>
    <row r="211" spans="1:15">
      <c r="A211" s="64"/>
      <c r="B211" s="64"/>
      <c r="C211" s="96"/>
      <c r="D211" s="109"/>
      <c r="E211" s="109"/>
      <c r="F211" s="95"/>
      <c r="G211" s="109"/>
      <c r="H211" s="109"/>
      <c r="I211" s="109"/>
      <c r="J211" s="70"/>
      <c r="K211" s="111"/>
      <c r="L211" s="72"/>
      <c r="M211" s="75"/>
      <c r="N211" s="75"/>
      <c r="O211" s="72"/>
    </row>
    <row r="212" spans="1:15">
      <c r="A212" s="64"/>
      <c r="B212" s="64"/>
      <c r="C212" s="96"/>
      <c r="D212" s="67"/>
      <c r="E212" s="67"/>
      <c r="F212" s="121"/>
      <c r="G212" s="67"/>
      <c r="H212" s="67"/>
      <c r="I212" s="67"/>
      <c r="J212" s="122"/>
      <c r="K212" s="111"/>
      <c r="L212" s="72"/>
      <c r="M212" s="75"/>
      <c r="N212" s="75"/>
      <c r="O212" s="72"/>
    </row>
    <row r="213" spans="1:15">
      <c r="A213" s="64"/>
      <c r="B213" s="64"/>
      <c r="C213" s="96"/>
      <c r="D213" s="67"/>
      <c r="E213" s="67"/>
      <c r="F213" s="121"/>
      <c r="G213" s="67"/>
      <c r="H213" s="67"/>
      <c r="I213" s="67"/>
      <c r="J213" s="122"/>
      <c r="K213" s="111"/>
      <c r="L213" s="72"/>
      <c r="M213" s="75"/>
      <c r="N213" s="75"/>
      <c r="O213" s="72"/>
    </row>
    <row r="214" spans="1:15">
      <c r="A214" s="25" t="s">
        <v>76</v>
      </c>
      <c r="B214" s="7" t="s">
        <v>1</v>
      </c>
      <c r="C214" s="7" t="s">
        <v>284</v>
      </c>
      <c r="D214" s="27" t="s">
        <v>0</v>
      </c>
      <c r="E214" s="27" t="s">
        <v>3</v>
      </c>
      <c r="F214" s="27" t="s">
        <v>4</v>
      </c>
      <c r="G214" s="28" t="s">
        <v>5</v>
      </c>
      <c r="H214" s="27" t="s">
        <v>6</v>
      </c>
      <c r="I214" s="27" t="s">
        <v>7</v>
      </c>
      <c r="J214" s="27" t="s">
        <v>8</v>
      </c>
      <c r="K214" s="27" t="s">
        <v>451</v>
      </c>
      <c r="L214" s="29" t="s">
        <v>393</v>
      </c>
      <c r="M214" s="73" t="s">
        <v>394</v>
      </c>
      <c r="N214" s="73" t="s">
        <v>395</v>
      </c>
      <c r="O214" s="29" t="s">
        <v>9</v>
      </c>
    </row>
    <row r="215" spans="1:15">
      <c r="A215" s="4" t="s">
        <v>289</v>
      </c>
      <c r="B215" s="25" t="s">
        <v>338</v>
      </c>
      <c r="C215" s="6" t="s">
        <v>290</v>
      </c>
      <c r="D215" s="22" t="str">
        <f>"PO1509090009"</f>
        <v>PO1509090009</v>
      </c>
      <c r="E215" s="22" t="str">
        <f>"9787561546611.001"</f>
        <v>9787561546611.001</v>
      </c>
      <c r="F215" s="23" t="s">
        <v>294</v>
      </c>
      <c r="G215" s="8" t="s">
        <v>164</v>
      </c>
      <c r="H215" s="9" t="s">
        <v>98</v>
      </c>
      <c r="I215" s="8" t="s">
        <v>295</v>
      </c>
      <c r="J215" s="10">
        <v>32</v>
      </c>
      <c r="K215" s="10">
        <f t="shared" ref="K215:K223" si="15">J215*0.8</f>
        <v>25.6</v>
      </c>
      <c r="L215" s="12">
        <v>57</v>
      </c>
      <c r="M215" s="74">
        <f t="shared" ref="M215:M229" si="16">J215*L215</f>
        <v>1824</v>
      </c>
      <c r="N215" s="74">
        <f t="shared" ref="N215:N223" si="17">M215*0.8</f>
        <v>1459.2</v>
      </c>
      <c r="O215" s="12">
        <v>80</v>
      </c>
    </row>
    <row r="216" spans="1:15">
      <c r="A216" s="25" t="s">
        <v>75</v>
      </c>
      <c r="B216" s="25" t="s">
        <v>338</v>
      </c>
      <c r="C216" s="24" t="s">
        <v>339</v>
      </c>
      <c r="D216" s="8" t="str">
        <f t="shared" ref="D216:D223" si="18">"PO1509170095"</f>
        <v>PO1509170095</v>
      </c>
      <c r="E216" s="8" t="str">
        <f>"9787122101303"</f>
        <v>9787122101303</v>
      </c>
      <c r="F216" s="21" t="s">
        <v>260</v>
      </c>
      <c r="G216" s="8" t="s">
        <v>127</v>
      </c>
      <c r="H216" s="9" t="s">
        <v>259</v>
      </c>
      <c r="I216" s="8" t="s">
        <v>258</v>
      </c>
      <c r="J216" s="10">
        <v>18</v>
      </c>
      <c r="K216" s="10">
        <f t="shared" si="15"/>
        <v>14.4</v>
      </c>
      <c r="L216" s="12">
        <v>57</v>
      </c>
      <c r="M216" s="74">
        <f t="shared" si="16"/>
        <v>1026</v>
      </c>
      <c r="N216" s="74">
        <f t="shared" si="17"/>
        <v>820.80000000000007</v>
      </c>
      <c r="O216" s="12">
        <v>80</v>
      </c>
    </row>
    <row r="217" spans="1:15">
      <c r="A217" s="25" t="s">
        <v>75</v>
      </c>
      <c r="B217" s="25" t="s">
        <v>338</v>
      </c>
      <c r="C217" s="24" t="s">
        <v>339</v>
      </c>
      <c r="D217" s="8" t="str">
        <f t="shared" si="18"/>
        <v>PO1509170095</v>
      </c>
      <c r="E217" s="8" t="str">
        <f>"9787506818933"</f>
        <v>9787506818933</v>
      </c>
      <c r="F217" s="21" t="s">
        <v>302</v>
      </c>
      <c r="G217" s="8" t="s">
        <v>303</v>
      </c>
      <c r="H217" s="9" t="s">
        <v>304</v>
      </c>
      <c r="I217" s="8" t="s">
        <v>305</v>
      </c>
      <c r="J217" s="10">
        <v>26.8</v>
      </c>
      <c r="K217" s="10">
        <f t="shared" si="15"/>
        <v>21.44</v>
      </c>
      <c r="L217" s="12">
        <v>57</v>
      </c>
      <c r="M217" s="74">
        <f t="shared" si="16"/>
        <v>1527.6000000000001</v>
      </c>
      <c r="N217" s="74">
        <f t="shared" si="17"/>
        <v>1222.0800000000002</v>
      </c>
      <c r="O217" s="12">
        <v>80</v>
      </c>
    </row>
    <row r="218" spans="1:15">
      <c r="A218" s="25" t="s">
        <v>75</v>
      </c>
      <c r="B218" s="25" t="s">
        <v>338</v>
      </c>
      <c r="C218" s="24" t="s">
        <v>339</v>
      </c>
      <c r="D218" s="8" t="str">
        <f t="shared" si="18"/>
        <v>PO1509170095</v>
      </c>
      <c r="E218" s="8" t="str">
        <f>"9787122155085"</f>
        <v>9787122155085</v>
      </c>
      <c r="F218" s="21" t="s">
        <v>262</v>
      </c>
      <c r="G218" s="8" t="s">
        <v>127</v>
      </c>
      <c r="H218" s="9" t="s">
        <v>102</v>
      </c>
      <c r="I218" s="8" t="s">
        <v>261</v>
      </c>
      <c r="J218" s="10">
        <v>28</v>
      </c>
      <c r="K218" s="10">
        <f t="shared" si="15"/>
        <v>22.400000000000002</v>
      </c>
      <c r="L218" s="12">
        <v>57</v>
      </c>
      <c r="M218" s="74">
        <f t="shared" si="16"/>
        <v>1596</v>
      </c>
      <c r="N218" s="74">
        <f t="shared" si="17"/>
        <v>1276.8000000000002</v>
      </c>
      <c r="O218" s="12">
        <v>80</v>
      </c>
    </row>
    <row r="219" spans="1:15">
      <c r="A219" s="25" t="s">
        <v>75</v>
      </c>
      <c r="B219" s="25" t="s">
        <v>338</v>
      </c>
      <c r="C219" s="24" t="s">
        <v>339</v>
      </c>
      <c r="D219" s="8" t="str">
        <f t="shared" si="18"/>
        <v>PO1509170095</v>
      </c>
      <c r="E219" s="8" t="str">
        <f>"9787310042838"</f>
        <v>9787310042838</v>
      </c>
      <c r="F219" s="21" t="s">
        <v>306</v>
      </c>
      <c r="G219" s="8" t="s">
        <v>307</v>
      </c>
      <c r="H219" s="9" t="s">
        <v>308</v>
      </c>
      <c r="I219" s="8" t="s">
        <v>309</v>
      </c>
      <c r="J219" s="10">
        <v>28</v>
      </c>
      <c r="K219" s="10">
        <f t="shared" si="15"/>
        <v>22.400000000000002</v>
      </c>
      <c r="L219" s="12">
        <v>57</v>
      </c>
      <c r="M219" s="74">
        <f t="shared" si="16"/>
        <v>1596</v>
      </c>
      <c r="N219" s="74">
        <f t="shared" si="17"/>
        <v>1276.8000000000002</v>
      </c>
      <c r="O219" s="12">
        <v>80</v>
      </c>
    </row>
    <row r="220" spans="1:15">
      <c r="A220" s="25" t="s">
        <v>75</v>
      </c>
      <c r="B220" s="25" t="s">
        <v>338</v>
      </c>
      <c r="C220" s="24" t="s">
        <v>339</v>
      </c>
      <c r="D220" s="8" t="str">
        <f t="shared" si="18"/>
        <v>PO1509170095</v>
      </c>
      <c r="E220" s="8" t="str">
        <f>"9787122009586"</f>
        <v>9787122009586</v>
      </c>
      <c r="F220" s="21" t="s">
        <v>265</v>
      </c>
      <c r="G220" s="8" t="s">
        <v>127</v>
      </c>
      <c r="H220" s="9" t="s">
        <v>264</v>
      </c>
      <c r="I220" s="8" t="s">
        <v>263</v>
      </c>
      <c r="J220" s="10">
        <v>29</v>
      </c>
      <c r="K220" s="10">
        <f t="shared" si="15"/>
        <v>23.200000000000003</v>
      </c>
      <c r="L220" s="12">
        <v>57</v>
      </c>
      <c r="M220" s="74">
        <f t="shared" si="16"/>
        <v>1653</v>
      </c>
      <c r="N220" s="74">
        <f t="shared" si="17"/>
        <v>1322.4</v>
      </c>
      <c r="O220" s="12">
        <v>80</v>
      </c>
    </row>
    <row r="221" spans="1:15">
      <c r="A221" s="25" t="s">
        <v>75</v>
      </c>
      <c r="B221" s="25" t="s">
        <v>338</v>
      </c>
      <c r="C221" s="24" t="s">
        <v>339</v>
      </c>
      <c r="D221" s="8" t="str">
        <f t="shared" si="18"/>
        <v>PO1509170095</v>
      </c>
      <c r="E221" s="8" t="str">
        <f>"9787313080844"</f>
        <v>9787313080844</v>
      </c>
      <c r="F221" s="21" t="s">
        <v>310</v>
      </c>
      <c r="G221" s="8" t="s">
        <v>311</v>
      </c>
      <c r="H221" s="9" t="s">
        <v>241</v>
      </c>
      <c r="I221" s="8" t="s">
        <v>312</v>
      </c>
      <c r="J221" s="10">
        <v>32</v>
      </c>
      <c r="K221" s="10">
        <f t="shared" si="15"/>
        <v>25.6</v>
      </c>
      <c r="L221" s="12">
        <v>57</v>
      </c>
      <c r="M221" s="74">
        <f t="shared" si="16"/>
        <v>1824</v>
      </c>
      <c r="N221" s="74">
        <f t="shared" si="17"/>
        <v>1459.2</v>
      </c>
      <c r="O221" s="12">
        <v>80</v>
      </c>
    </row>
    <row r="222" spans="1:15">
      <c r="A222" s="25" t="s">
        <v>75</v>
      </c>
      <c r="B222" s="25" t="s">
        <v>338</v>
      </c>
      <c r="C222" s="24" t="s">
        <v>339</v>
      </c>
      <c r="D222" s="8" t="str">
        <f t="shared" si="18"/>
        <v>PO1509170095</v>
      </c>
      <c r="E222" s="8" t="str">
        <f>"9787040406801"</f>
        <v>9787040406801</v>
      </c>
      <c r="F222" s="21" t="s">
        <v>313</v>
      </c>
      <c r="G222" s="8" t="s">
        <v>214</v>
      </c>
      <c r="H222" s="9" t="s">
        <v>136</v>
      </c>
      <c r="I222" s="8" t="s">
        <v>314</v>
      </c>
      <c r="J222" s="10">
        <v>35</v>
      </c>
      <c r="K222" s="10">
        <f t="shared" si="15"/>
        <v>28</v>
      </c>
      <c r="L222" s="12">
        <v>57</v>
      </c>
      <c r="M222" s="74">
        <f t="shared" si="16"/>
        <v>1995</v>
      </c>
      <c r="N222" s="74">
        <f t="shared" si="17"/>
        <v>1596</v>
      </c>
      <c r="O222" s="12">
        <v>80</v>
      </c>
    </row>
    <row r="223" spans="1:15">
      <c r="A223" s="25" t="s">
        <v>75</v>
      </c>
      <c r="B223" s="25" t="s">
        <v>338</v>
      </c>
      <c r="C223" s="24" t="s">
        <v>339</v>
      </c>
      <c r="D223" s="8" t="str">
        <f t="shared" si="18"/>
        <v>PO1509170095</v>
      </c>
      <c r="E223" s="8" t="str">
        <f>"9787310042401"</f>
        <v>9787310042401</v>
      </c>
      <c r="F223" s="21" t="s">
        <v>316</v>
      </c>
      <c r="G223" s="8" t="s">
        <v>307</v>
      </c>
      <c r="H223" s="9" t="s">
        <v>273</v>
      </c>
      <c r="I223" s="8" t="s">
        <v>317</v>
      </c>
      <c r="J223" s="10">
        <v>39</v>
      </c>
      <c r="K223" s="10">
        <f t="shared" si="15"/>
        <v>31.200000000000003</v>
      </c>
      <c r="L223" s="12">
        <v>57</v>
      </c>
      <c r="M223" s="74">
        <f t="shared" si="16"/>
        <v>2223</v>
      </c>
      <c r="N223" s="74">
        <f t="shared" si="17"/>
        <v>1778.4</v>
      </c>
      <c r="O223" s="12">
        <v>80</v>
      </c>
    </row>
    <row r="224" spans="1:15">
      <c r="A224" s="25" t="s">
        <v>75</v>
      </c>
      <c r="B224" s="25" t="s">
        <v>338</v>
      </c>
      <c r="C224" s="24" t="s">
        <v>339</v>
      </c>
      <c r="D224" s="8" t="s">
        <v>375</v>
      </c>
      <c r="E224" s="8" t="s">
        <v>375</v>
      </c>
      <c r="F224" s="31" t="s">
        <v>383</v>
      </c>
      <c r="G224" s="8" t="s">
        <v>389</v>
      </c>
      <c r="H224" s="8" t="s">
        <v>376</v>
      </c>
      <c r="I224" s="8" t="s">
        <v>376</v>
      </c>
      <c r="J224" s="32">
        <v>16</v>
      </c>
      <c r="K224" s="30">
        <f t="shared" ref="K224:K229" si="19">J224*1</f>
        <v>16</v>
      </c>
      <c r="L224" s="12">
        <v>57</v>
      </c>
      <c r="M224" s="74">
        <f t="shared" si="16"/>
        <v>912</v>
      </c>
      <c r="N224" s="74">
        <f t="shared" ref="N224:N229" si="20">M224*1</f>
        <v>912</v>
      </c>
      <c r="O224" s="12">
        <v>100</v>
      </c>
    </row>
    <row r="225" spans="1:15">
      <c r="A225" s="25" t="s">
        <v>75</v>
      </c>
      <c r="B225" s="25" t="s">
        <v>347</v>
      </c>
      <c r="C225" s="24" t="s">
        <v>348</v>
      </c>
      <c r="D225" s="8" t="s">
        <v>375</v>
      </c>
      <c r="E225" s="8" t="s">
        <v>375</v>
      </c>
      <c r="F225" s="31" t="s">
        <v>384</v>
      </c>
      <c r="G225" s="8" t="s">
        <v>390</v>
      </c>
      <c r="H225" s="8" t="s">
        <v>376</v>
      </c>
      <c r="I225" s="8" t="s">
        <v>376</v>
      </c>
      <c r="J225" s="32">
        <v>18</v>
      </c>
      <c r="K225" s="30">
        <f t="shared" si="19"/>
        <v>18</v>
      </c>
      <c r="L225" s="12">
        <v>57</v>
      </c>
      <c r="M225" s="74">
        <f t="shared" si="16"/>
        <v>1026</v>
      </c>
      <c r="N225" s="74">
        <f t="shared" si="20"/>
        <v>1026</v>
      </c>
      <c r="O225" s="12">
        <v>100</v>
      </c>
    </row>
    <row r="226" spans="1:15">
      <c r="A226" s="25" t="s">
        <v>75</v>
      </c>
      <c r="B226" s="25" t="s">
        <v>338</v>
      </c>
      <c r="C226" s="24" t="s">
        <v>339</v>
      </c>
      <c r="D226" s="8" t="s">
        <v>375</v>
      </c>
      <c r="E226" s="8" t="s">
        <v>375</v>
      </c>
      <c r="F226" s="37" t="s">
        <v>461</v>
      </c>
      <c r="G226" s="8" t="s">
        <v>376</v>
      </c>
      <c r="H226" s="8" t="s">
        <v>376</v>
      </c>
      <c r="I226" s="8" t="s">
        <v>376</v>
      </c>
      <c r="J226" s="34">
        <v>8.8000000000000007</v>
      </c>
      <c r="K226" s="30">
        <f t="shared" si="19"/>
        <v>8.8000000000000007</v>
      </c>
      <c r="L226" s="12">
        <v>57</v>
      </c>
      <c r="M226" s="74">
        <f t="shared" si="16"/>
        <v>501.6</v>
      </c>
      <c r="N226" s="74">
        <f t="shared" si="20"/>
        <v>501.6</v>
      </c>
      <c r="O226" s="12">
        <v>100</v>
      </c>
    </row>
    <row r="227" spans="1:15">
      <c r="A227" s="25" t="s">
        <v>345</v>
      </c>
      <c r="B227" s="25" t="s">
        <v>338</v>
      </c>
      <c r="C227" s="24" t="s">
        <v>339</v>
      </c>
      <c r="D227" s="8" t="s">
        <v>375</v>
      </c>
      <c r="E227" s="8" t="s">
        <v>375</v>
      </c>
      <c r="F227" s="33" t="s">
        <v>386</v>
      </c>
      <c r="G227" s="8" t="s">
        <v>376</v>
      </c>
      <c r="H227" s="8" t="s">
        <v>376</v>
      </c>
      <c r="I227" s="8" t="s">
        <v>376</v>
      </c>
      <c r="J227" s="34">
        <v>5</v>
      </c>
      <c r="K227" s="30">
        <f t="shared" si="19"/>
        <v>5</v>
      </c>
      <c r="L227" s="12">
        <v>57</v>
      </c>
      <c r="M227" s="74">
        <f t="shared" si="16"/>
        <v>285</v>
      </c>
      <c r="N227" s="74">
        <f t="shared" si="20"/>
        <v>285</v>
      </c>
      <c r="O227" s="12">
        <v>100</v>
      </c>
    </row>
    <row r="228" spans="1:15">
      <c r="A228" s="25" t="s">
        <v>349</v>
      </c>
      <c r="B228" s="25" t="s">
        <v>350</v>
      </c>
      <c r="C228" s="24" t="s">
        <v>339</v>
      </c>
      <c r="D228" s="8" t="s">
        <v>375</v>
      </c>
      <c r="E228" s="8" t="s">
        <v>375</v>
      </c>
      <c r="F228" s="35" t="s">
        <v>387</v>
      </c>
      <c r="G228" s="8" t="s">
        <v>376</v>
      </c>
      <c r="H228" s="8" t="s">
        <v>376</v>
      </c>
      <c r="I228" s="8" t="s">
        <v>376</v>
      </c>
      <c r="J228" s="36">
        <v>6.5</v>
      </c>
      <c r="K228" s="30">
        <f t="shared" si="19"/>
        <v>6.5</v>
      </c>
      <c r="L228" s="12">
        <v>57</v>
      </c>
      <c r="M228" s="74">
        <f t="shared" si="16"/>
        <v>370.5</v>
      </c>
      <c r="N228" s="74">
        <f t="shared" si="20"/>
        <v>370.5</v>
      </c>
      <c r="O228" s="12">
        <v>100</v>
      </c>
    </row>
    <row r="229" spans="1:15">
      <c r="A229" s="25" t="s">
        <v>75</v>
      </c>
      <c r="B229" s="25" t="s">
        <v>338</v>
      </c>
      <c r="C229" s="24" t="s">
        <v>339</v>
      </c>
      <c r="D229" s="8" t="s">
        <v>375</v>
      </c>
      <c r="E229" s="8" t="s">
        <v>375</v>
      </c>
      <c r="F229" s="35" t="s">
        <v>388</v>
      </c>
      <c r="G229" s="8" t="s">
        <v>376</v>
      </c>
      <c r="H229" s="8" t="s">
        <v>376</v>
      </c>
      <c r="I229" s="8" t="s">
        <v>376</v>
      </c>
      <c r="J229" s="36">
        <v>2.2999999999999998</v>
      </c>
      <c r="K229" s="30">
        <f t="shared" si="19"/>
        <v>2.2999999999999998</v>
      </c>
      <c r="L229" s="12">
        <v>57</v>
      </c>
      <c r="M229" s="74">
        <f t="shared" si="16"/>
        <v>131.1</v>
      </c>
      <c r="N229" s="74">
        <f t="shared" si="20"/>
        <v>131.1</v>
      </c>
      <c r="O229" s="12">
        <v>100</v>
      </c>
    </row>
    <row r="230" spans="1:15">
      <c r="A230" s="152" t="s">
        <v>285</v>
      </c>
      <c r="B230" s="153"/>
      <c r="C230" s="153"/>
      <c r="D230" s="153"/>
      <c r="E230" s="153"/>
      <c r="F230" s="153"/>
      <c r="G230" s="153"/>
      <c r="H230" s="153"/>
      <c r="I230" s="154"/>
      <c r="J230" s="139">
        <f>SUM(J215:J229)</f>
        <v>324.40000000000003</v>
      </c>
      <c r="K230" s="139">
        <f t="shared" ref="K230:N230" si="21">SUM(K215:K229)</f>
        <v>270.84000000000003</v>
      </c>
      <c r="L230" s="140">
        <f t="shared" si="21"/>
        <v>855</v>
      </c>
      <c r="M230" s="139">
        <f t="shared" si="21"/>
        <v>18490.799999999996</v>
      </c>
      <c r="N230" s="139">
        <f t="shared" si="21"/>
        <v>15437.880000000001</v>
      </c>
      <c r="O230" s="4"/>
    </row>
    <row r="232" spans="1:15" ht="14.25">
      <c r="A232" s="88" t="s">
        <v>444</v>
      </c>
    </row>
    <row r="233" spans="1:15" ht="14.25">
      <c r="A233" s="88" t="s">
        <v>443</v>
      </c>
    </row>
  </sheetData>
  <autoFilter ref="A4:O229"/>
  <mergeCells count="13">
    <mergeCell ref="A2:O2"/>
    <mergeCell ref="A150:I150"/>
    <mergeCell ref="A230:I230"/>
    <mergeCell ref="A169:I169"/>
    <mergeCell ref="A188:I188"/>
    <mergeCell ref="A204:I204"/>
    <mergeCell ref="A11:I11"/>
    <mergeCell ref="A32:I32"/>
    <mergeCell ref="A132:I132"/>
    <mergeCell ref="A113:I113"/>
    <mergeCell ref="A96:I96"/>
    <mergeCell ref="A74:I74"/>
    <mergeCell ref="A54:I54"/>
  </mergeCells>
  <phoneticPr fontId="1" type="noConversion"/>
  <printOptions horizontalCentered="1"/>
  <pageMargins left="0.15748031496062992" right="0.15748031496062992" top="0.3937007874015748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1"/>
  <sheetViews>
    <sheetView workbookViewId="0">
      <selection activeCell="J33" sqref="J33"/>
    </sheetView>
  </sheetViews>
  <sheetFormatPr defaultRowHeight="13.5"/>
  <cols>
    <col min="2" max="2" width="4" customWidth="1"/>
    <col min="3" max="3" width="13.75" customWidth="1"/>
    <col min="5" max="5" width="14.125" customWidth="1"/>
    <col min="6" max="6" width="22.5" customWidth="1"/>
    <col min="7" max="7" width="16.75" customWidth="1"/>
  </cols>
  <sheetData>
    <row r="2" spans="1:15" ht="20.25">
      <c r="A2" s="155" t="s">
        <v>459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>
      <c r="A4" s="25" t="s">
        <v>76</v>
      </c>
      <c r="B4" s="7" t="s">
        <v>1</v>
      </c>
      <c r="C4" s="7" t="s">
        <v>284</v>
      </c>
      <c r="D4" s="27" t="s">
        <v>0</v>
      </c>
      <c r="E4" s="27" t="s">
        <v>3</v>
      </c>
      <c r="F4" s="27" t="s">
        <v>4</v>
      </c>
      <c r="G4" s="28" t="s">
        <v>5</v>
      </c>
      <c r="H4" s="27" t="s">
        <v>6</v>
      </c>
      <c r="I4" s="27" t="s">
        <v>7</v>
      </c>
      <c r="J4" s="27" t="s">
        <v>8</v>
      </c>
      <c r="K4" s="27" t="s">
        <v>451</v>
      </c>
      <c r="L4" s="29" t="s">
        <v>393</v>
      </c>
      <c r="M4" s="73" t="s">
        <v>394</v>
      </c>
      <c r="N4" s="73" t="s">
        <v>395</v>
      </c>
      <c r="O4" s="29" t="s">
        <v>9</v>
      </c>
    </row>
    <row r="5" spans="1:15">
      <c r="A5" s="25" t="s">
        <v>460</v>
      </c>
      <c r="B5" s="7" t="s">
        <v>21</v>
      </c>
      <c r="C5" s="6" t="s">
        <v>69</v>
      </c>
      <c r="D5" s="8" t="str">
        <f t="shared" ref="D5:D11" si="0">"PO1508060071"</f>
        <v>PO1508060071</v>
      </c>
      <c r="E5" s="8" t="str">
        <f>"9787801563231.002"</f>
        <v>9787801563231.002</v>
      </c>
      <c r="F5" s="21" t="s">
        <v>153</v>
      </c>
      <c r="G5" s="8" t="s">
        <v>152</v>
      </c>
      <c r="H5" s="9" t="s">
        <v>151</v>
      </c>
      <c r="I5" s="8" t="s">
        <v>150</v>
      </c>
      <c r="J5" s="10">
        <v>25</v>
      </c>
      <c r="K5" s="10">
        <f t="shared" ref="K5:K11" si="1">J5*0.8</f>
        <v>20</v>
      </c>
      <c r="L5" s="12">
        <v>33</v>
      </c>
      <c r="M5" s="74">
        <f t="shared" ref="M5:M12" si="2">J5*L5</f>
        <v>825</v>
      </c>
      <c r="N5" s="74">
        <f t="shared" ref="N5:N11" si="3">M5*0.8</f>
        <v>660</v>
      </c>
      <c r="O5" s="12">
        <v>80</v>
      </c>
    </row>
    <row r="6" spans="1:15">
      <c r="A6" s="25" t="s">
        <v>460</v>
      </c>
      <c r="B6" s="7" t="s">
        <v>21</v>
      </c>
      <c r="C6" s="6" t="s">
        <v>69</v>
      </c>
      <c r="D6" s="8" t="str">
        <f t="shared" si="0"/>
        <v>PO1508060071</v>
      </c>
      <c r="E6" s="8" t="str">
        <f>"9787508060590"</f>
        <v>9787508060590</v>
      </c>
      <c r="F6" s="21" t="s">
        <v>149</v>
      </c>
      <c r="G6" s="8" t="s">
        <v>148</v>
      </c>
      <c r="H6" s="9" t="s">
        <v>102</v>
      </c>
      <c r="I6" s="8" t="s">
        <v>147</v>
      </c>
      <c r="J6" s="10">
        <v>38</v>
      </c>
      <c r="K6" s="10">
        <f t="shared" si="1"/>
        <v>30.400000000000002</v>
      </c>
      <c r="L6" s="12">
        <v>33</v>
      </c>
      <c r="M6" s="74">
        <f t="shared" si="2"/>
        <v>1254</v>
      </c>
      <c r="N6" s="74">
        <f t="shared" si="3"/>
        <v>1003.2</v>
      </c>
      <c r="O6" s="12">
        <v>80</v>
      </c>
    </row>
    <row r="7" spans="1:15">
      <c r="A7" s="25" t="s">
        <v>460</v>
      </c>
      <c r="B7" s="7" t="s">
        <v>21</v>
      </c>
      <c r="C7" s="6" t="s">
        <v>69</v>
      </c>
      <c r="D7" s="8" t="str">
        <f t="shared" si="0"/>
        <v>PO1508060071</v>
      </c>
      <c r="E7" s="8" t="str">
        <f>"9787117190558"</f>
        <v>9787117190558</v>
      </c>
      <c r="F7" s="21" t="s">
        <v>146</v>
      </c>
      <c r="G7" s="8" t="s">
        <v>95</v>
      </c>
      <c r="H7" s="9" t="s">
        <v>145</v>
      </c>
      <c r="I7" s="8" t="s">
        <v>144</v>
      </c>
      <c r="J7" s="10">
        <v>38</v>
      </c>
      <c r="K7" s="10">
        <f t="shared" si="1"/>
        <v>30.400000000000002</v>
      </c>
      <c r="L7" s="12">
        <v>33</v>
      </c>
      <c r="M7" s="74">
        <f t="shared" si="2"/>
        <v>1254</v>
      </c>
      <c r="N7" s="74">
        <f t="shared" si="3"/>
        <v>1003.2</v>
      </c>
      <c r="O7" s="12">
        <v>80</v>
      </c>
    </row>
    <row r="8" spans="1:15">
      <c r="A8" s="25" t="s">
        <v>460</v>
      </c>
      <c r="B8" s="7" t="s">
        <v>21</v>
      </c>
      <c r="C8" s="6" t="s">
        <v>69</v>
      </c>
      <c r="D8" s="8" t="str">
        <f t="shared" si="0"/>
        <v>PO1508060071</v>
      </c>
      <c r="E8" s="8" t="str">
        <f>"9787117184663"</f>
        <v>9787117184663</v>
      </c>
      <c r="F8" s="21" t="s">
        <v>143</v>
      </c>
      <c r="G8" s="8" t="s">
        <v>95</v>
      </c>
      <c r="H8" s="9" t="s">
        <v>142</v>
      </c>
      <c r="I8" s="8" t="s">
        <v>141</v>
      </c>
      <c r="J8" s="10">
        <v>58</v>
      </c>
      <c r="K8" s="10">
        <f t="shared" si="1"/>
        <v>46.400000000000006</v>
      </c>
      <c r="L8" s="12">
        <v>33</v>
      </c>
      <c r="M8" s="74">
        <f t="shared" si="2"/>
        <v>1914</v>
      </c>
      <c r="N8" s="74">
        <f t="shared" si="3"/>
        <v>1531.2</v>
      </c>
      <c r="O8" s="12">
        <v>80</v>
      </c>
    </row>
    <row r="9" spans="1:15">
      <c r="A9" s="25" t="s">
        <v>460</v>
      </c>
      <c r="B9" s="7" t="s">
        <v>21</v>
      </c>
      <c r="C9" s="6" t="s">
        <v>69</v>
      </c>
      <c r="D9" s="8" t="str">
        <f t="shared" si="0"/>
        <v>PO1508060071</v>
      </c>
      <c r="E9" s="8" t="str">
        <f>"9787117190534"</f>
        <v>9787117190534</v>
      </c>
      <c r="F9" s="21" t="s">
        <v>140</v>
      </c>
      <c r="G9" s="8" t="s">
        <v>95</v>
      </c>
      <c r="H9" s="9" t="s">
        <v>139</v>
      </c>
      <c r="I9" s="8" t="s">
        <v>138</v>
      </c>
      <c r="J9" s="10">
        <v>59</v>
      </c>
      <c r="K9" s="10">
        <f t="shared" si="1"/>
        <v>47.2</v>
      </c>
      <c r="L9" s="12">
        <v>33</v>
      </c>
      <c r="M9" s="74">
        <f t="shared" si="2"/>
        <v>1947</v>
      </c>
      <c r="N9" s="74">
        <f t="shared" si="3"/>
        <v>1557.6000000000001</v>
      </c>
      <c r="O9" s="12">
        <v>80</v>
      </c>
    </row>
    <row r="10" spans="1:15">
      <c r="A10" s="25" t="s">
        <v>460</v>
      </c>
      <c r="B10" s="7" t="s">
        <v>21</v>
      </c>
      <c r="C10" s="6" t="s">
        <v>69</v>
      </c>
      <c r="D10" s="8" t="str">
        <f t="shared" si="0"/>
        <v>PO1508060071</v>
      </c>
      <c r="E10" s="8" t="str">
        <f>"9787117194730"</f>
        <v>9787117194730</v>
      </c>
      <c r="F10" s="21" t="s">
        <v>137</v>
      </c>
      <c r="G10" s="8" t="s">
        <v>95</v>
      </c>
      <c r="H10" s="9" t="s">
        <v>136</v>
      </c>
      <c r="I10" s="8" t="s">
        <v>135</v>
      </c>
      <c r="J10" s="10">
        <v>59</v>
      </c>
      <c r="K10" s="10">
        <f t="shared" si="1"/>
        <v>47.2</v>
      </c>
      <c r="L10" s="12">
        <v>33</v>
      </c>
      <c r="M10" s="74">
        <f t="shared" si="2"/>
        <v>1947</v>
      </c>
      <c r="N10" s="74">
        <f t="shared" si="3"/>
        <v>1557.6000000000001</v>
      </c>
      <c r="O10" s="12">
        <v>80</v>
      </c>
    </row>
    <row r="11" spans="1:15">
      <c r="A11" s="25" t="s">
        <v>460</v>
      </c>
      <c r="B11" s="7" t="s">
        <v>21</v>
      </c>
      <c r="C11" s="6" t="s">
        <v>69</v>
      </c>
      <c r="D11" s="8" t="str">
        <f t="shared" si="0"/>
        <v>PO1508060071</v>
      </c>
      <c r="E11" s="8" t="str">
        <f>"9787117188333"</f>
        <v>9787117188333</v>
      </c>
      <c r="F11" s="21" t="s">
        <v>134</v>
      </c>
      <c r="G11" s="8" t="s">
        <v>95</v>
      </c>
      <c r="H11" s="9" t="s">
        <v>133</v>
      </c>
      <c r="I11" s="8" t="s">
        <v>132</v>
      </c>
      <c r="J11" s="10">
        <v>72</v>
      </c>
      <c r="K11" s="10">
        <f t="shared" si="1"/>
        <v>57.6</v>
      </c>
      <c r="L11" s="12">
        <v>33</v>
      </c>
      <c r="M11" s="74">
        <f t="shared" si="2"/>
        <v>2376</v>
      </c>
      <c r="N11" s="74">
        <f t="shared" si="3"/>
        <v>1900.8000000000002</v>
      </c>
      <c r="O11" s="12">
        <v>80</v>
      </c>
    </row>
    <row r="12" spans="1:15">
      <c r="A12" s="25" t="s">
        <v>460</v>
      </c>
      <c r="B12" s="7" t="s">
        <v>21</v>
      </c>
      <c r="C12" s="6" t="s">
        <v>69</v>
      </c>
      <c r="D12" s="4" t="s">
        <v>377</v>
      </c>
      <c r="E12" s="4" t="s">
        <v>376</v>
      </c>
      <c r="F12" s="33" t="s">
        <v>386</v>
      </c>
      <c r="G12" s="4" t="s">
        <v>376</v>
      </c>
      <c r="H12" s="4" t="s">
        <v>375</v>
      </c>
      <c r="I12" s="4" t="s">
        <v>376</v>
      </c>
      <c r="J12" s="30">
        <v>5</v>
      </c>
      <c r="K12" s="30">
        <f>J12*1</f>
        <v>5</v>
      </c>
      <c r="L12" s="12">
        <v>33</v>
      </c>
      <c r="M12" s="74">
        <f t="shared" si="2"/>
        <v>165</v>
      </c>
      <c r="N12" s="74">
        <f>M12*1</f>
        <v>165</v>
      </c>
      <c r="O12" s="12">
        <v>100</v>
      </c>
    </row>
    <row r="13" spans="1:15">
      <c r="A13" s="159" t="s">
        <v>452</v>
      </c>
      <c r="B13" s="159"/>
      <c r="C13" s="159"/>
      <c r="D13" s="159"/>
      <c r="E13" s="159"/>
      <c r="F13" s="159"/>
      <c r="G13" s="159"/>
      <c r="H13" s="159"/>
      <c r="I13" s="159"/>
      <c r="J13" s="30">
        <f>SUM(J5:J12)</f>
        <v>354</v>
      </c>
      <c r="K13" s="30">
        <f>SUM(K5:K12)</f>
        <v>284.20000000000005</v>
      </c>
      <c r="L13" s="149">
        <f>SUM(L5:L12)</f>
        <v>264</v>
      </c>
      <c r="M13" s="30">
        <f>SUM(M5:M12)</f>
        <v>11682</v>
      </c>
      <c r="N13" s="30">
        <f>SUM(N5:N12)</f>
        <v>9378.6000000000022</v>
      </c>
      <c r="O13" s="12"/>
    </row>
    <row r="14" spans="1:15" ht="14.25">
      <c r="A14" s="88" t="s">
        <v>444</v>
      </c>
      <c r="B14" s="65"/>
      <c r="C14" s="129"/>
      <c r="D14" s="109"/>
      <c r="E14" s="109"/>
      <c r="F14" s="110"/>
      <c r="G14" s="109"/>
      <c r="H14" s="109"/>
      <c r="I14" s="109"/>
      <c r="J14" s="111"/>
      <c r="K14" s="111"/>
      <c r="L14" s="72"/>
      <c r="M14" s="75"/>
      <c r="N14" s="75"/>
      <c r="O14" s="72"/>
    </row>
    <row r="15" spans="1:15" ht="14.25">
      <c r="A15" s="88" t="s">
        <v>443</v>
      </c>
      <c r="B15" s="65"/>
      <c r="C15" s="129"/>
      <c r="D15" s="109"/>
      <c r="E15" s="109"/>
      <c r="F15" s="110"/>
      <c r="G15" s="109"/>
      <c r="H15" s="109"/>
      <c r="I15" s="109"/>
      <c r="J15" s="111"/>
      <c r="K15" s="111"/>
      <c r="L15" s="72"/>
      <c r="M15" s="75"/>
      <c r="N15" s="75"/>
      <c r="O15" s="72"/>
    </row>
    <row r="22" spans="1:15">
      <c r="A22" s="25" t="s">
        <v>76</v>
      </c>
      <c r="B22" s="7" t="s">
        <v>1</v>
      </c>
      <c r="C22" s="7" t="s">
        <v>284</v>
      </c>
      <c r="D22" s="27" t="s">
        <v>0</v>
      </c>
      <c r="E22" s="27" t="s">
        <v>3</v>
      </c>
      <c r="F22" s="27" t="s">
        <v>4</v>
      </c>
      <c r="G22" s="28" t="s">
        <v>5</v>
      </c>
      <c r="H22" s="27" t="s">
        <v>6</v>
      </c>
      <c r="I22" s="27" t="s">
        <v>7</v>
      </c>
      <c r="J22" s="27" t="s">
        <v>8</v>
      </c>
      <c r="K22" s="27" t="s">
        <v>451</v>
      </c>
      <c r="L22" s="29" t="s">
        <v>393</v>
      </c>
      <c r="M22" s="73" t="s">
        <v>394</v>
      </c>
      <c r="N22" s="73" t="s">
        <v>395</v>
      </c>
      <c r="O22" s="29" t="s">
        <v>9</v>
      </c>
    </row>
    <row r="23" spans="1:15">
      <c r="A23" s="25" t="s">
        <v>460</v>
      </c>
      <c r="B23" s="25" t="s">
        <v>286</v>
      </c>
      <c r="C23" s="6" t="s">
        <v>73</v>
      </c>
      <c r="D23" s="22" t="str">
        <f>"PO1509090009"</f>
        <v>PO1509090009</v>
      </c>
      <c r="E23" s="22" t="str">
        <f>"9787561546611.001"</f>
        <v>9787561546611.001</v>
      </c>
      <c r="F23" s="23" t="s">
        <v>294</v>
      </c>
      <c r="G23" s="8" t="s">
        <v>164</v>
      </c>
      <c r="H23" s="9" t="s">
        <v>98</v>
      </c>
      <c r="I23" s="8" t="s">
        <v>295</v>
      </c>
      <c r="J23" s="10">
        <v>32</v>
      </c>
      <c r="K23" s="10">
        <f t="shared" ref="K23:K30" si="4">J23*0.8</f>
        <v>25.6</v>
      </c>
      <c r="L23" s="12">
        <v>58</v>
      </c>
      <c r="M23" s="74">
        <f t="shared" ref="M23:M36" si="5">J23*L23</f>
        <v>1856</v>
      </c>
      <c r="N23" s="74">
        <f t="shared" ref="N23:N30" si="6">M23*0.8</f>
        <v>1484.8000000000002</v>
      </c>
      <c r="O23" s="12">
        <v>80</v>
      </c>
    </row>
    <row r="24" spans="1:15">
      <c r="A24" s="25" t="s">
        <v>460</v>
      </c>
      <c r="B24" s="25" t="s">
        <v>286</v>
      </c>
      <c r="C24" s="2" t="s">
        <v>337</v>
      </c>
      <c r="D24" s="8" t="str">
        <f t="shared" ref="D24:D30" si="7">"PO1509170094"</f>
        <v>PO1509170094</v>
      </c>
      <c r="E24" s="8" t="str">
        <f>"9787506818933"</f>
        <v>9787506818933</v>
      </c>
      <c r="F24" s="21" t="s">
        <v>302</v>
      </c>
      <c r="G24" s="8" t="s">
        <v>303</v>
      </c>
      <c r="H24" s="9" t="s">
        <v>304</v>
      </c>
      <c r="I24" s="8" t="s">
        <v>305</v>
      </c>
      <c r="J24" s="10">
        <v>26.8</v>
      </c>
      <c r="K24" s="10">
        <f t="shared" si="4"/>
        <v>21.44</v>
      </c>
      <c r="L24" s="12">
        <v>58</v>
      </c>
      <c r="M24" s="74">
        <f t="shared" si="5"/>
        <v>1554.4</v>
      </c>
      <c r="N24" s="74">
        <f t="shared" si="6"/>
        <v>1243.5200000000002</v>
      </c>
      <c r="O24" s="12">
        <v>80</v>
      </c>
    </row>
    <row r="25" spans="1:15">
      <c r="A25" s="25" t="s">
        <v>460</v>
      </c>
      <c r="B25" s="25" t="s">
        <v>286</v>
      </c>
      <c r="C25" s="2" t="s">
        <v>337</v>
      </c>
      <c r="D25" s="8" t="str">
        <f t="shared" si="7"/>
        <v>PO1509170094</v>
      </c>
      <c r="E25" s="8" t="str">
        <f>"9787310042838"</f>
        <v>9787310042838</v>
      </c>
      <c r="F25" s="21" t="s">
        <v>306</v>
      </c>
      <c r="G25" s="8" t="s">
        <v>307</v>
      </c>
      <c r="H25" s="9" t="s">
        <v>308</v>
      </c>
      <c r="I25" s="8" t="s">
        <v>309</v>
      </c>
      <c r="J25" s="10">
        <v>28</v>
      </c>
      <c r="K25" s="10">
        <f t="shared" si="4"/>
        <v>22.400000000000002</v>
      </c>
      <c r="L25" s="12">
        <v>58</v>
      </c>
      <c r="M25" s="74">
        <f t="shared" si="5"/>
        <v>1624</v>
      </c>
      <c r="N25" s="74">
        <f t="shared" si="6"/>
        <v>1299.2</v>
      </c>
      <c r="O25" s="12">
        <v>80</v>
      </c>
    </row>
    <row r="26" spans="1:15">
      <c r="A26" s="25" t="s">
        <v>460</v>
      </c>
      <c r="B26" s="25" t="s">
        <v>286</v>
      </c>
      <c r="C26" s="2" t="s">
        <v>337</v>
      </c>
      <c r="D26" s="8" t="str">
        <f t="shared" si="7"/>
        <v>PO1509170094</v>
      </c>
      <c r="E26" s="8" t="str">
        <f>"9787313080844"</f>
        <v>9787313080844</v>
      </c>
      <c r="F26" s="21" t="s">
        <v>310</v>
      </c>
      <c r="G26" s="8" t="s">
        <v>311</v>
      </c>
      <c r="H26" s="9" t="s">
        <v>241</v>
      </c>
      <c r="I26" s="8" t="s">
        <v>312</v>
      </c>
      <c r="J26" s="10">
        <v>32</v>
      </c>
      <c r="K26" s="10">
        <f t="shared" si="4"/>
        <v>25.6</v>
      </c>
      <c r="L26" s="12">
        <v>58</v>
      </c>
      <c r="M26" s="74">
        <f t="shared" si="5"/>
        <v>1856</v>
      </c>
      <c r="N26" s="74">
        <f t="shared" si="6"/>
        <v>1484.8000000000002</v>
      </c>
      <c r="O26" s="12">
        <v>80</v>
      </c>
    </row>
    <row r="27" spans="1:15">
      <c r="A27" s="25" t="s">
        <v>460</v>
      </c>
      <c r="B27" s="25" t="s">
        <v>286</v>
      </c>
      <c r="C27" s="2" t="s">
        <v>337</v>
      </c>
      <c r="D27" s="8" t="str">
        <f t="shared" si="7"/>
        <v>PO1509170094</v>
      </c>
      <c r="E27" s="8" t="str">
        <f>"9787040406801"</f>
        <v>9787040406801</v>
      </c>
      <c r="F27" s="21" t="s">
        <v>313</v>
      </c>
      <c r="G27" s="8" t="s">
        <v>214</v>
      </c>
      <c r="H27" s="9" t="s">
        <v>136</v>
      </c>
      <c r="I27" s="8" t="s">
        <v>314</v>
      </c>
      <c r="J27" s="10">
        <v>35</v>
      </c>
      <c r="K27" s="10">
        <f t="shared" si="4"/>
        <v>28</v>
      </c>
      <c r="L27" s="12">
        <v>58</v>
      </c>
      <c r="M27" s="74">
        <f t="shared" si="5"/>
        <v>2030</v>
      </c>
      <c r="N27" s="74">
        <f t="shared" si="6"/>
        <v>1624</v>
      </c>
      <c r="O27" s="12">
        <v>80</v>
      </c>
    </row>
    <row r="28" spans="1:15">
      <c r="A28" s="25" t="s">
        <v>460</v>
      </c>
      <c r="B28" s="25" t="s">
        <v>286</v>
      </c>
      <c r="C28" s="2" t="s">
        <v>337</v>
      </c>
      <c r="D28" s="8" t="str">
        <f t="shared" si="7"/>
        <v>PO1509170094</v>
      </c>
      <c r="E28" s="8" t="str">
        <f>"9787117190541"</f>
        <v>9787117190541</v>
      </c>
      <c r="F28" s="21" t="s">
        <v>271</v>
      </c>
      <c r="G28" s="8" t="s">
        <v>95</v>
      </c>
      <c r="H28" s="9" t="s">
        <v>270</v>
      </c>
      <c r="I28" s="8" t="s">
        <v>269</v>
      </c>
      <c r="J28" s="10">
        <v>38</v>
      </c>
      <c r="K28" s="10">
        <f t="shared" si="4"/>
        <v>30.400000000000002</v>
      </c>
      <c r="L28" s="12">
        <v>58</v>
      </c>
      <c r="M28" s="74">
        <f t="shared" si="5"/>
        <v>2204</v>
      </c>
      <c r="N28" s="74">
        <f t="shared" si="6"/>
        <v>1763.2</v>
      </c>
      <c r="O28" s="12">
        <v>80</v>
      </c>
    </row>
    <row r="29" spans="1:15">
      <c r="A29" s="25" t="s">
        <v>460</v>
      </c>
      <c r="B29" s="25" t="s">
        <v>286</v>
      </c>
      <c r="C29" s="2" t="s">
        <v>337</v>
      </c>
      <c r="D29" s="8" t="str">
        <f t="shared" si="7"/>
        <v>PO1509170094</v>
      </c>
      <c r="E29" s="8" t="str">
        <f>"9787310042401"</f>
        <v>9787310042401</v>
      </c>
      <c r="F29" s="21" t="s">
        <v>316</v>
      </c>
      <c r="G29" s="8" t="s">
        <v>307</v>
      </c>
      <c r="H29" s="9" t="s">
        <v>273</v>
      </c>
      <c r="I29" s="8" t="s">
        <v>317</v>
      </c>
      <c r="J29" s="10">
        <v>39</v>
      </c>
      <c r="K29" s="10">
        <f t="shared" si="4"/>
        <v>31.200000000000003</v>
      </c>
      <c r="L29" s="12">
        <v>58</v>
      </c>
      <c r="M29" s="74">
        <f t="shared" si="5"/>
        <v>2262</v>
      </c>
      <c r="N29" s="74">
        <f t="shared" si="6"/>
        <v>1809.6000000000001</v>
      </c>
      <c r="O29" s="12">
        <v>80</v>
      </c>
    </row>
    <row r="30" spans="1:15">
      <c r="A30" s="25" t="s">
        <v>460</v>
      </c>
      <c r="B30" s="25" t="s">
        <v>286</v>
      </c>
      <c r="C30" s="2" t="s">
        <v>337</v>
      </c>
      <c r="D30" s="8" t="str">
        <f t="shared" si="7"/>
        <v>PO1509170094</v>
      </c>
      <c r="E30" s="8" t="str">
        <f>"9787117158299"</f>
        <v>9787117158299</v>
      </c>
      <c r="F30" s="21" t="s">
        <v>268</v>
      </c>
      <c r="G30" s="8" t="s">
        <v>95</v>
      </c>
      <c r="H30" s="9" t="s">
        <v>267</v>
      </c>
      <c r="I30" s="8" t="s">
        <v>266</v>
      </c>
      <c r="J30" s="10">
        <v>53</v>
      </c>
      <c r="K30" s="10">
        <f t="shared" si="4"/>
        <v>42.400000000000006</v>
      </c>
      <c r="L30" s="12">
        <v>58</v>
      </c>
      <c r="M30" s="74">
        <f t="shared" si="5"/>
        <v>3074</v>
      </c>
      <c r="N30" s="74">
        <f t="shared" si="6"/>
        <v>2459.2000000000003</v>
      </c>
      <c r="O30" s="12">
        <v>80</v>
      </c>
    </row>
    <row r="31" spans="1:15">
      <c r="A31" s="25" t="s">
        <v>460</v>
      </c>
      <c r="B31" s="25" t="s">
        <v>286</v>
      </c>
      <c r="C31" s="2" t="s">
        <v>346</v>
      </c>
      <c r="D31" s="8" t="s">
        <v>375</v>
      </c>
      <c r="E31" s="8" t="s">
        <v>375</v>
      </c>
      <c r="F31" s="31" t="s">
        <v>383</v>
      </c>
      <c r="G31" s="8" t="s">
        <v>389</v>
      </c>
      <c r="H31" s="8" t="s">
        <v>376</v>
      </c>
      <c r="I31" s="8" t="s">
        <v>376</v>
      </c>
      <c r="J31" s="32">
        <v>16</v>
      </c>
      <c r="K31" s="30">
        <f t="shared" ref="K31:K36" si="8">J31*1</f>
        <v>16</v>
      </c>
      <c r="L31" s="12">
        <v>58</v>
      </c>
      <c r="M31" s="74">
        <f t="shared" si="5"/>
        <v>928</v>
      </c>
      <c r="N31" s="74">
        <f t="shared" ref="N31:N36" si="9">M31*1</f>
        <v>928</v>
      </c>
      <c r="O31" s="12">
        <v>100</v>
      </c>
    </row>
    <row r="32" spans="1:15">
      <c r="A32" s="25" t="s">
        <v>460</v>
      </c>
      <c r="B32" s="25" t="s">
        <v>286</v>
      </c>
      <c r="C32" s="2" t="s">
        <v>346</v>
      </c>
      <c r="D32" s="8" t="s">
        <v>375</v>
      </c>
      <c r="E32" s="8" t="s">
        <v>375</v>
      </c>
      <c r="F32" s="31" t="s">
        <v>384</v>
      </c>
      <c r="G32" s="8" t="s">
        <v>390</v>
      </c>
      <c r="H32" s="8" t="s">
        <v>376</v>
      </c>
      <c r="I32" s="8" t="s">
        <v>376</v>
      </c>
      <c r="J32" s="32">
        <v>18</v>
      </c>
      <c r="K32" s="30">
        <f t="shared" si="8"/>
        <v>18</v>
      </c>
      <c r="L32" s="12">
        <v>58</v>
      </c>
      <c r="M32" s="74">
        <f t="shared" si="5"/>
        <v>1044</v>
      </c>
      <c r="N32" s="74">
        <f t="shared" si="9"/>
        <v>1044</v>
      </c>
      <c r="O32" s="12">
        <v>100</v>
      </c>
    </row>
    <row r="33" spans="1:15">
      <c r="A33" s="25" t="s">
        <v>460</v>
      </c>
      <c r="B33" s="25" t="s">
        <v>286</v>
      </c>
      <c r="C33" s="2" t="s">
        <v>346</v>
      </c>
      <c r="D33" s="8" t="s">
        <v>375</v>
      </c>
      <c r="E33" s="8" t="s">
        <v>375</v>
      </c>
      <c r="F33" s="37" t="s">
        <v>392</v>
      </c>
      <c r="G33" s="8" t="s">
        <v>376</v>
      </c>
      <c r="H33" s="8" t="s">
        <v>376</v>
      </c>
      <c r="I33" s="8" t="s">
        <v>376</v>
      </c>
      <c r="J33" s="34">
        <v>9.3000000000000007</v>
      </c>
      <c r="K33" s="30">
        <f t="shared" si="8"/>
        <v>9.3000000000000007</v>
      </c>
      <c r="L33" s="12">
        <v>58</v>
      </c>
      <c r="M33" s="74">
        <f t="shared" si="5"/>
        <v>539.40000000000009</v>
      </c>
      <c r="N33" s="74">
        <f t="shared" si="9"/>
        <v>539.40000000000009</v>
      </c>
      <c r="O33" s="12">
        <v>100</v>
      </c>
    </row>
    <row r="34" spans="1:15">
      <c r="A34" s="25" t="s">
        <v>460</v>
      </c>
      <c r="B34" s="25" t="s">
        <v>286</v>
      </c>
      <c r="C34" s="2" t="s">
        <v>337</v>
      </c>
      <c r="D34" s="8" t="s">
        <v>375</v>
      </c>
      <c r="E34" s="8" t="s">
        <v>375</v>
      </c>
      <c r="F34" s="33" t="s">
        <v>386</v>
      </c>
      <c r="G34" s="8" t="s">
        <v>376</v>
      </c>
      <c r="H34" s="8" t="s">
        <v>376</v>
      </c>
      <c r="I34" s="8" t="s">
        <v>376</v>
      </c>
      <c r="J34" s="34">
        <v>5</v>
      </c>
      <c r="K34" s="30">
        <f t="shared" si="8"/>
        <v>5</v>
      </c>
      <c r="L34" s="12">
        <v>58</v>
      </c>
      <c r="M34" s="74">
        <f t="shared" si="5"/>
        <v>290</v>
      </c>
      <c r="N34" s="74">
        <f t="shared" si="9"/>
        <v>290</v>
      </c>
      <c r="O34" s="12">
        <v>100</v>
      </c>
    </row>
    <row r="35" spans="1:15">
      <c r="A35" s="25" t="s">
        <v>460</v>
      </c>
      <c r="B35" s="25" t="s">
        <v>286</v>
      </c>
      <c r="C35" s="2" t="s">
        <v>346</v>
      </c>
      <c r="D35" s="8" t="s">
        <v>375</v>
      </c>
      <c r="E35" s="8" t="s">
        <v>375</v>
      </c>
      <c r="F35" s="35" t="s">
        <v>387</v>
      </c>
      <c r="G35" s="8" t="s">
        <v>376</v>
      </c>
      <c r="H35" s="8" t="s">
        <v>376</v>
      </c>
      <c r="I35" s="8" t="s">
        <v>376</v>
      </c>
      <c r="J35" s="36">
        <v>6.5</v>
      </c>
      <c r="K35" s="30">
        <f t="shared" si="8"/>
        <v>6.5</v>
      </c>
      <c r="L35" s="12">
        <v>58</v>
      </c>
      <c r="M35" s="74">
        <f t="shared" si="5"/>
        <v>377</v>
      </c>
      <c r="N35" s="74">
        <f t="shared" si="9"/>
        <v>377</v>
      </c>
      <c r="O35" s="12">
        <v>100</v>
      </c>
    </row>
    <row r="36" spans="1:15">
      <c r="A36" s="25" t="s">
        <v>460</v>
      </c>
      <c r="B36" s="25" t="s">
        <v>286</v>
      </c>
      <c r="C36" s="2" t="s">
        <v>337</v>
      </c>
      <c r="D36" s="8" t="s">
        <v>375</v>
      </c>
      <c r="E36" s="8" t="s">
        <v>375</v>
      </c>
      <c r="F36" s="35" t="s">
        <v>388</v>
      </c>
      <c r="G36" s="8" t="s">
        <v>376</v>
      </c>
      <c r="H36" s="8" t="s">
        <v>376</v>
      </c>
      <c r="I36" s="8" t="s">
        <v>376</v>
      </c>
      <c r="J36" s="36">
        <v>2.2999999999999998</v>
      </c>
      <c r="K36" s="30">
        <f t="shared" si="8"/>
        <v>2.2999999999999998</v>
      </c>
      <c r="L36" s="12">
        <v>58</v>
      </c>
      <c r="M36" s="74">
        <f t="shared" si="5"/>
        <v>133.39999999999998</v>
      </c>
      <c r="N36" s="74">
        <f t="shared" si="9"/>
        <v>133.39999999999998</v>
      </c>
      <c r="O36" s="12">
        <v>100</v>
      </c>
    </row>
    <row r="37" spans="1:15">
      <c r="A37" s="152" t="s">
        <v>452</v>
      </c>
      <c r="B37" s="153"/>
      <c r="C37" s="153"/>
      <c r="D37" s="153"/>
      <c r="E37" s="153"/>
      <c r="F37" s="153"/>
      <c r="G37" s="153"/>
      <c r="H37" s="153"/>
      <c r="I37" s="154"/>
      <c r="J37" s="138">
        <f>SUM(J23:J36)</f>
        <v>340.90000000000003</v>
      </c>
      <c r="K37" s="138">
        <f>SUM(K23:K36)</f>
        <v>284.1400000000001</v>
      </c>
      <c r="L37" s="143">
        <f>SUM(L23:L36)</f>
        <v>812</v>
      </c>
      <c r="M37" s="138">
        <f>SUM(M23:M36)</f>
        <v>19772.200000000004</v>
      </c>
      <c r="N37" s="138">
        <f>SUM(N23:N36)</f>
        <v>16480.120000000003</v>
      </c>
      <c r="O37" s="54"/>
    </row>
    <row r="38" spans="1:15">
      <c r="A38" s="80"/>
      <c r="B38" s="80"/>
      <c r="C38" s="98"/>
      <c r="D38" s="83"/>
      <c r="E38" s="83"/>
      <c r="F38" s="123"/>
      <c r="G38" s="83"/>
      <c r="H38" s="83"/>
      <c r="I38" s="83"/>
      <c r="J38" s="124"/>
      <c r="K38" s="114"/>
      <c r="L38" s="86"/>
      <c r="M38" s="85"/>
      <c r="N38" s="85"/>
      <c r="O38" s="86"/>
    </row>
    <row r="39" spans="1:15" ht="14.25">
      <c r="A39" s="88" t="s">
        <v>444</v>
      </c>
      <c r="B39" s="64"/>
      <c r="C39" s="96"/>
      <c r="D39" s="67"/>
      <c r="E39" s="67"/>
      <c r="F39" s="121"/>
      <c r="G39" s="67"/>
      <c r="H39" s="67"/>
      <c r="I39" s="67"/>
      <c r="J39" s="122"/>
      <c r="K39" s="111"/>
      <c r="L39" s="72"/>
      <c r="M39" s="75"/>
      <c r="N39" s="75"/>
      <c r="O39" s="72"/>
    </row>
    <row r="40" spans="1:15" ht="14.25">
      <c r="A40" s="88" t="s">
        <v>443</v>
      </c>
      <c r="B40" s="64"/>
      <c r="C40" s="96"/>
      <c r="D40" s="67"/>
      <c r="E40" s="67"/>
      <c r="F40" s="121"/>
      <c r="G40" s="67"/>
      <c r="H40" s="67"/>
      <c r="I40" s="67"/>
      <c r="J40" s="122"/>
      <c r="K40" s="111"/>
      <c r="L40" s="72"/>
      <c r="M40" s="75"/>
      <c r="N40" s="75"/>
      <c r="O40" s="72"/>
    </row>
    <row r="41" spans="1:15">
      <c r="A41" s="64"/>
      <c r="B41" s="64"/>
      <c r="C41" s="96"/>
      <c r="D41" s="67"/>
      <c r="E41" s="67"/>
      <c r="F41" s="121"/>
      <c r="G41" s="67"/>
      <c r="H41" s="67"/>
      <c r="I41" s="67"/>
      <c r="J41" s="122"/>
      <c r="K41" s="111"/>
      <c r="L41" s="72"/>
      <c r="M41" s="75"/>
      <c r="N41" s="75"/>
      <c r="O41" s="72"/>
    </row>
  </sheetData>
  <mergeCells count="3">
    <mergeCell ref="A13:I13"/>
    <mergeCell ref="A37:I37"/>
    <mergeCell ref="A2:O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3"/>
  <sheetViews>
    <sheetView topLeftCell="A4" workbookViewId="0">
      <pane ySplit="1" topLeftCell="A26" activePane="bottomLeft" state="frozen"/>
      <selection activeCell="A4" sqref="A4"/>
      <selection pane="bottomLeft" activeCell="B51" sqref="B51"/>
    </sheetView>
  </sheetViews>
  <sheetFormatPr defaultRowHeight="13.5"/>
  <cols>
    <col min="1" max="1" width="7.5" style="1" bestFit="1" customWidth="1"/>
    <col min="2" max="2" width="7.5" style="3" bestFit="1" customWidth="1"/>
    <col min="3" max="3" width="28.375" style="3" customWidth="1"/>
    <col min="4" max="4" width="7.5" style="1" bestFit="1" customWidth="1"/>
    <col min="5" max="5" width="11.5" style="1" bestFit="1" customWidth="1"/>
    <col min="6" max="6" width="10.5" style="1" bestFit="1" customWidth="1"/>
    <col min="7" max="7" width="26.375" customWidth="1"/>
  </cols>
  <sheetData>
    <row r="2" spans="1:7" ht="20.25">
      <c r="A2" s="151" t="s">
        <v>456</v>
      </c>
      <c r="B2" s="151"/>
      <c r="C2" s="151"/>
      <c r="D2" s="151"/>
      <c r="E2" s="151"/>
      <c r="F2" s="151"/>
      <c r="G2" s="151"/>
    </row>
    <row r="4" spans="1:7" ht="14.25">
      <c r="A4" s="13" t="s">
        <v>76</v>
      </c>
      <c r="B4" s="14" t="s">
        <v>77</v>
      </c>
      <c r="C4" s="14" t="s">
        <v>78</v>
      </c>
      <c r="D4" s="15" t="s">
        <v>398</v>
      </c>
      <c r="E4" s="38" t="s">
        <v>396</v>
      </c>
      <c r="F4" s="38" t="s">
        <v>397</v>
      </c>
      <c r="G4" s="145" t="s">
        <v>455</v>
      </c>
    </row>
    <row r="5" spans="1:7" ht="14.25">
      <c r="A5" s="13" t="s">
        <v>399</v>
      </c>
      <c r="B5" s="14" t="s">
        <v>400</v>
      </c>
      <c r="C5" s="16" t="s">
        <v>45</v>
      </c>
      <c r="D5" s="39">
        <v>79</v>
      </c>
      <c r="E5" s="15">
        <v>1152.4000000000001</v>
      </c>
      <c r="F5" s="15">
        <v>957.2</v>
      </c>
      <c r="G5" s="146"/>
    </row>
    <row r="6" spans="1:7" ht="14.25">
      <c r="A6" s="13" t="s">
        <v>399</v>
      </c>
      <c r="B6" s="14" t="s">
        <v>23</v>
      </c>
      <c r="C6" s="16" t="s">
        <v>20</v>
      </c>
      <c r="D6" s="39">
        <v>109</v>
      </c>
      <c r="E6" s="15">
        <v>1504.6000000000001</v>
      </c>
      <c r="F6" s="15">
        <v>1262.6400000000001</v>
      </c>
      <c r="G6" s="147"/>
    </row>
    <row r="7" spans="1:7" ht="14.25">
      <c r="A7" s="13" t="s">
        <v>399</v>
      </c>
      <c r="B7" s="14" t="s">
        <v>16</v>
      </c>
      <c r="C7" s="16" t="s">
        <v>22</v>
      </c>
      <c r="D7" s="39">
        <v>115</v>
      </c>
      <c r="E7" s="15">
        <v>1418.3000000000002</v>
      </c>
      <c r="F7" s="15">
        <v>1205.9000000000001</v>
      </c>
      <c r="G7" s="147"/>
    </row>
    <row r="8" spans="1:7" ht="14.25">
      <c r="A8" s="13" t="s">
        <v>399</v>
      </c>
      <c r="B8" s="14" t="s">
        <v>35</v>
      </c>
      <c r="C8" s="16" t="s">
        <v>46</v>
      </c>
      <c r="D8" s="39">
        <v>121</v>
      </c>
      <c r="E8" s="15">
        <v>2767.9</v>
      </c>
      <c r="F8" s="15">
        <v>2244.7000000000003</v>
      </c>
      <c r="G8" s="147"/>
    </row>
    <row r="9" spans="1:7" ht="14.25">
      <c r="A9" s="13" t="s">
        <v>399</v>
      </c>
      <c r="B9" s="14" t="s">
        <v>36</v>
      </c>
      <c r="C9" s="16" t="s">
        <v>47</v>
      </c>
      <c r="D9" s="39">
        <v>113</v>
      </c>
      <c r="E9" s="15">
        <v>2636</v>
      </c>
      <c r="F9" s="15">
        <v>2145.52</v>
      </c>
      <c r="G9" s="147"/>
    </row>
    <row r="10" spans="1:7" ht="14.25">
      <c r="A10" s="13" t="s">
        <v>399</v>
      </c>
      <c r="B10" s="14" t="s">
        <v>37</v>
      </c>
      <c r="C10" s="16" t="s">
        <v>32</v>
      </c>
      <c r="D10" s="39">
        <v>75</v>
      </c>
      <c r="E10" s="15">
        <v>1226.8</v>
      </c>
      <c r="F10" s="15">
        <v>1012.4000000000001</v>
      </c>
      <c r="G10" s="147"/>
    </row>
    <row r="11" spans="1:7" ht="14.25">
      <c r="A11" s="13" t="s">
        <v>399</v>
      </c>
      <c r="B11" s="14" t="s">
        <v>38</v>
      </c>
      <c r="C11" s="16" t="s">
        <v>33</v>
      </c>
      <c r="D11" s="39">
        <v>76</v>
      </c>
      <c r="E11" s="15">
        <v>995.2</v>
      </c>
      <c r="F11" s="15">
        <v>833.6</v>
      </c>
      <c r="G11" s="147"/>
    </row>
    <row r="12" spans="1:7" ht="14.25">
      <c r="A12" s="13" t="s">
        <v>399</v>
      </c>
      <c r="B12" s="14" t="s">
        <v>39</v>
      </c>
      <c r="C12" s="16" t="s">
        <v>34</v>
      </c>
      <c r="D12" s="39">
        <v>120</v>
      </c>
      <c r="E12" s="15">
        <v>2442.8000000000002</v>
      </c>
      <c r="F12" s="15">
        <v>1992.4</v>
      </c>
      <c r="G12" s="147"/>
    </row>
    <row r="13" spans="1:7" ht="14.25">
      <c r="A13" s="13" t="s">
        <v>74</v>
      </c>
      <c r="B13" s="19" t="s">
        <v>401</v>
      </c>
      <c r="C13" s="15" t="s">
        <v>361</v>
      </c>
      <c r="D13" s="40">
        <v>66</v>
      </c>
      <c r="E13" s="15">
        <v>3834</v>
      </c>
      <c r="F13" s="15">
        <v>3103.2000000000003</v>
      </c>
      <c r="G13" s="147"/>
    </row>
    <row r="14" spans="1:7" ht="14.25">
      <c r="A14" s="13" t="s">
        <v>399</v>
      </c>
      <c r="B14" s="19" t="s">
        <v>402</v>
      </c>
      <c r="C14" s="15" t="s">
        <v>403</v>
      </c>
      <c r="D14" s="40">
        <v>67</v>
      </c>
      <c r="E14" s="15">
        <v>4008</v>
      </c>
      <c r="F14" s="15">
        <v>3242.4</v>
      </c>
      <c r="G14" s="147"/>
    </row>
    <row r="15" spans="1:7" ht="14.25">
      <c r="A15" s="13" t="s">
        <v>399</v>
      </c>
      <c r="B15" s="14" t="s">
        <v>404</v>
      </c>
      <c r="C15" s="16" t="s">
        <v>48</v>
      </c>
      <c r="D15" s="39">
        <v>180</v>
      </c>
      <c r="E15" s="15">
        <v>6264</v>
      </c>
      <c r="F15" s="15">
        <v>5047.2</v>
      </c>
      <c r="G15" s="147"/>
    </row>
    <row r="16" spans="1:7" ht="14.25">
      <c r="A16" s="13" t="s">
        <v>399</v>
      </c>
      <c r="B16" s="14" t="s">
        <v>24</v>
      </c>
      <c r="C16" s="16" t="s">
        <v>49</v>
      </c>
      <c r="D16" s="39">
        <v>280</v>
      </c>
      <c r="E16" s="15">
        <v>7224</v>
      </c>
      <c r="F16" s="15">
        <v>5844</v>
      </c>
      <c r="G16" s="147"/>
    </row>
    <row r="17" spans="1:7" ht="14.25">
      <c r="A17" s="13" t="s">
        <v>399</v>
      </c>
      <c r="B17" s="14" t="s">
        <v>25</v>
      </c>
      <c r="C17" s="16" t="s">
        <v>50</v>
      </c>
      <c r="D17" s="39">
        <v>204</v>
      </c>
      <c r="E17" s="15">
        <v>4406.3999999999996</v>
      </c>
      <c r="F17" s="15">
        <v>3583.6000000000004</v>
      </c>
      <c r="G17" s="147"/>
    </row>
    <row r="18" spans="1:7" ht="14.25">
      <c r="A18" s="13" t="s">
        <v>74</v>
      </c>
      <c r="B18" s="14" t="s">
        <v>26</v>
      </c>
      <c r="C18" s="16" t="s">
        <v>51</v>
      </c>
      <c r="D18" s="39">
        <v>220</v>
      </c>
      <c r="E18" s="15">
        <v>5940</v>
      </c>
      <c r="F18" s="15">
        <v>4796</v>
      </c>
      <c r="G18" s="147"/>
    </row>
    <row r="19" spans="1:7" ht="14.25">
      <c r="A19" s="13" t="s">
        <v>74</v>
      </c>
      <c r="B19" s="14" t="s">
        <v>438</v>
      </c>
      <c r="C19" s="16" t="s">
        <v>439</v>
      </c>
      <c r="D19" s="39">
        <v>45</v>
      </c>
      <c r="E19" s="15">
        <v>162</v>
      </c>
      <c r="F19" s="15">
        <v>162</v>
      </c>
      <c r="G19" s="147"/>
    </row>
    <row r="20" spans="1:7" ht="14.25">
      <c r="A20" s="13" t="s">
        <v>399</v>
      </c>
      <c r="B20" s="19" t="s">
        <v>405</v>
      </c>
      <c r="C20" s="15" t="s">
        <v>372</v>
      </c>
      <c r="D20" s="40">
        <v>585</v>
      </c>
      <c r="E20" s="15">
        <v>13728.000000000002</v>
      </c>
      <c r="F20" s="15">
        <v>11469.119999999999</v>
      </c>
      <c r="G20" s="147"/>
    </row>
    <row r="21" spans="1:7" ht="14.25">
      <c r="A21" s="13" t="s">
        <v>399</v>
      </c>
      <c r="B21" s="19" t="s">
        <v>10</v>
      </c>
      <c r="C21" s="15" t="s">
        <v>406</v>
      </c>
      <c r="D21" s="40">
        <v>885</v>
      </c>
      <c r="E21" s="15">
        <v>20768.000000000004</v>
      </c>
      <c r="F21" s="15">
        <v>17350.720000000005</v>
      </c>
      <c r="G21" s="147"/>
    </row>
    <row r="22" spans="1:7" ht="14.25">
      <c r="A22" s="13" t="s">
        <v>399</v>
      </c>
      <c r="B22" s="19" t="s">
        <v>11</v>
      </c>
      <c r="C22" s="15" t="s">
        <v>407</v>
      </c>
      <c r="D22" s="40">
        <v>660</v>
      </c>
      <c r="E22" s="15">
        <v>15488.000000000002</v>
      </c>
      <c r="F22" s="15">
        <v>12939.520000000002</v>
      </c>
      <c r="G22" s="147"/>
    </row>
    <row r="23" spans="1:7" ht="14.25">
      <c r="A23" s="13" t="s">
        <v>399</v>
      </c>
      <c r="B23" s="19" t="s">
        <v>12</v>
      </c>
      <c r="C23" s="15" t="s">
        <v>408</v>
      </c>
      <c r="D23" s="40">
        <v>735</v>
      </c>
      <c r="E23" s="15">
        <v>17248.000000000004</v>
      </c>
      <c r="F23" s="15">
        <v>14409.92</v>
      </c>
      <c r="G23" s="147"/>
    </row>
    <row r="24" spans="1:7" ht="14.25">
      <c r="A24" s="13" t="s">
        <v>399</v>
      </c>
      <c r="B24" s="19" t="s">
        <v>13</v>
      </c>
      <c r="C24" s="15" t="s">
        <v>409</v>
      </c>
      <c r="D24" s="40">
        <v>816</v>
      </c>
      <c r="E24" s="15">
        <v>18752.699999999997</v>
      </c>
      <c r="F24" s="15">
        <v>15728.4</v>
      </c>
      <c r="G24" s="147"/>
    </row>
    <row r="25" spans="1:7" ht="14.25">
      <c r="A25" s="13" t="s">
        <v>399</v>
      </c>
      <c r="B25" s="19" t="s">
        <v>15</v>
      </c>
      <c r="C25" s="15" t="s">
        <v>410</v>
      </c>
      <c r="D25" s="40">
        <v>848</v>
      </c>
      <c r="E25" s="15">
        <v>19488.100000000002</v>
      </c>
      <c r="F25" s="15">
        <v>16345.199999999999</v>
      </c>
      <c r="G25" s="147"/>
    </row>
    <row r="26" spans="1:7" ht="14.25">
      <c r="A26" s="13" t="s">
        <v>399</v>
      </c>
      <c r="B26" s="19" t="s">
        <v>40</v>
      </c>
      <c r="C26" s="15" t="s">
        <v>373</v>
      </c>
      <c r="D26" s="40">
        <v>768</v>
      </c>
      <c r="E26" s="15">
        <v>17649.600000000002</v>
      </c>
      <c r="F26" s="15">
        <v>14803.199999999999</v>
      </c>
      <c r="G26" s="147"/>
    </row>
    <row r="27" spans="1:7" ht="14.25">
      <c r="A27" s="13" t="s">
        <v>74</v>
      </c>
      <c r="B27" s="19" t="s">
        <v>41</v>
      </c>
      <c r="C27" s="15" t="s">
        <v>411</v>
      </c>
      <c r="D27" s="40">
        <v>555</v>
      </c>
      <c r="E27" s="15">
        <v>12883.400000000001</v>
      </c>
      <c r="F27" s="15">
        <v>10768.480000000001</v>
      </c>
      <c r="G27" s="147"/>
    </row>
    <row r="28" spans="1:7" ht="14.25">
      <c r="A28" s="13" t="s">
        <v>399</v>
      </c>
      <c r="B28" s="19" t="s">
        <v>42</v>
      </c>
      <c r="C28" s="15" t="s">
        <v>412</v>
      </c>
      <c r="D28" s="40">
        <v>735</v>
      </c>
      <c r="E28" s="15">
        <v>17061.800000000003</v>
      </c>
      <c r="F28" s="15">
        <v>14260.960000000001</v>
      </c>
      <c r="G28" s="147"/>
    </row>
    <row r="29" spans="1:7" ht="14.25">
      <c r="A29" s="13" t="s">
        <v>413</v>
      </c>
      <c r="B29" s="14" t="s">
        <v>414</v>
      </c>
      <c r="C29" s="17" t="s">
        <v>61</v>
      </c>
      <c r="D29" s="41">
        <v>143</v>
      </c>
      <c r="E29" s="15">
        <v>2575</v>
      </c>
      <c r="F29" s="15">
        <v>2119</v>
      </c>
      <c r="G29" s="147"/>
    </row>
    <row r="30" spans="1:7" ht="14.25">
      <c r="A30" s="13" t="s">
        <v>413</v>
      </c>
      <c r="B30" s="14" t="s">
        <v>27</v>
      </c>
      <c r="C30" s="17" t="s">
        <v>62</v>
      </c>
      <c r="D30" s="41">
        <v>150</v>
      </c>
      <c r="E30" s="15">
        <v>2690</v>
      </c>
      <c r="F30" s="15">
        <v>2215</v>
      </c>
      <c r="G30" s="147"/>
    </row>
    <row r="31" spans="1:7" ht="14.25">
      <c r="A31" s="13" t="s">
        <v>413</v>
      </c>
      <c r="B31" s="14" t="s">
        <v>28</v>
      </c>
      <c r="C31" s="17" t="s">
        <v>63</v>
      </c>
      <c r="D31" s="41">
        <v>256</v>
      </c>
      <c r="E31" s="15">
        <v>6259.2</v>
      </c>
      <c r="F31" s="15">
        <v>5062.4000000000005</v>
      </c>
      <c r="G31" s="147"/>
    </row>
    <row r="32" spans="1:7" ht="14.25">
      <c r="A32" s="13" t="s">
        <v>413</v>
      </c>
      <c r="B32" s="14" t="s">
        <v>17</v>
      </c>
      <c r="C32" s="17" t="s">
        <v>64</v>
      </c>
      <c r="D32" s="41">
        <v>227</v>
      </c>
      <c r="E32" s="15">
        <v>5803</v>
      </c>
      <c r="F32" s="15">
        <v>4681</v>
      </c>
      <c r="G32" s="147"/>
    </row>
    <row r="33" spans="1:7" ht="14.25">
      <c r="A33" s="13" t="s">
        <v>413</v>
      </c>
      <c r="B33" s="14" t="s">
        <v>29</v>
      </c>
      <c r="C33" s="17" t="s">
        <v>65</v>
      </c>
      <c r="D33" s="41">
        <v>280</v>
      </c>
      <c r="E33" s="15">
        <v>6601</v>
      </c>
      <c r="F33" s="15">
        <v>5341</v>
      </c>
      <c r="G33" s="147"/>
    </row>
    <row r="34" spans="1:7" ht="14.25">
      <c r="A34" s="13" t="s">
        <v>75</v>
      </c>
      <c r="B34" s="14" t="s">
        <v>18</v>
      </c>
      <c r="C34" s="17" t="s">
        <v>66</v>
      </c>
      <c r="D34" s="41">
        <v>185</v>
      </c>
      <c r="E34" s="15">
        <v>4480</v>
      </c>
      <c r="F34" s="15">
        <v>3650.8</v>
      </c>
      <c r="G34" s="147"/>
    </row>
    <row r="35" spans="1:7" ht="14.25">
      <c r="A35" s="13" t="s">
        <v>413</v>
      </c>
      <c r="B35" s="14" t="s">
        <v>415</v>
      </c>
      <c r="C35" s="17" t="s">
        <v>67</v>
      </c>
      <c r="D35" s="41">
        <v>192</v>
      </c>
      <c r="E35" s="15">
        <v>3488</v>
      </c>
      <c r="F35" s="15">
        <v>3059.2</v>
      </c>
      <c r="G35" s="147"/>
    </row>
    <row r="36" spans="1:7" ht="14.25">
      <c r="A36" s="13" t="s">
        <v>413</v>
      </c>
      <c r="B36" s="14" t="s">
        <v>19</v>
      </c>
      <c r="C36" s="17" t="s">
        <v>68</v>
      </c>
      <c r="D36" s="41">
        <v>156</v>
      </c>
      <c r="E36" s="15">
        <v>2834</v>
      </c>
      <c r="F36" s="15">
        <v>2485.6</v>
      </c>
      <c r="G36" s="147"/>
    </row>
    <row r="37" spans="1:7" ht="14.25">
      <c r="A37" s="13" t="s">
        <v>462</v>
      </c>
      <c r="B37" s="14" t="s">
        <v>21</v>
      </c>
      <c r="C37" s="17" t="s">
        <v>69</v>
      </c>
      <c r="D37" s="41">
        <v>264</v>
      </c>
      <c r="E37" s="15">
        <v>11682</v>
      </c>
      <c r="F37" s="15">
        <v>9378.6000000000022</v>
      </c>
      <c r="G37" s="147"/>
    </row>
    <row r="38" spans="1:7" ht="14.25">
      <c r="A38" s="13" t="s">
        <v>75</v>
      </c>
      <c r="B38" s="14" t="s">
        <v>30</v>
      </c>
      <c r="C38" s="17" t="s">
        <v>70</v>
      </c>
      <c r="D38" s="41">
        <v>238</v>
      </c>
      <c r="E38" s="15">
        <v>5147.6000000000004</v>
      </c>
      <c r="F38" s="15">
        <v>4345.2000000000007</v>
      </c>
      <c r="G38" s="147"/>
    </row>
    <row r="39" spans="1:7" ht="14.25">
      <c r="A39" s="13" t="s">
        <v>413</v>
      </c>
      <c r="B39" s="14" t="s">
        <v>31</v>
      </c>
      <c r="C39" s="17" t="s">
        <v>71</v>
      </c>
      <c r="D39" s="41">
        <v>238</v>
      </c>
      <c r="E39" s="15">
        <v>4875.6000000000004</v>
      </c>
      <c r="F39" s="15">
        <v>4127.6000000000004</v>
      </c>
      <c r="G39" s="147"/>
    </row>
    <row r="40" spans="1:7" ht="14.25">
      <c r="A40" s="13" t="s">
        <v>413</v>
      </c>
      <c r="B40" s="14" t="s">
        <v>14</v>
      </c>
      <c r="C40" s="17" t="s">
        <v>72</v>
      </c>
      <c r="D40" s="41">
        <v>190</v>
      </c>
      <c r="E40" s="15">
        <v>5905.2</v>
      </c>
      <c r="F40" s="15">
        <v>4886.8</v>
      </c>
      <c r="G40" s="147"/>
    </row>
    <row r="41" spans="1:7" ht="14.25">
      <c r="A41" s="13" t="s">
        <v>462</v>
      </c>
      <c r="B41" s="19" t="s">
        <v>416</v>
      </c>
      <c r="C41" s="15" t="s">
        <v>417</v>
      </c>
      <c r="D41" s="40">
        <v>812</v>
      </c>
      <c r="E41" s="15">
        <v>19772.2</v>
      </c>
      <c r="F41" s="15">
        <v>16480.12</v>
      </c>
      <c r="G41" s="147"/>
    </row>
    <row r="42" spans="1:7" ht="14.25">
      <c r="A42" s="13" t="s">
        <v>75</v>
      </c>
      <c r="B42" s="19" t="s">
        <v>418</v>
      </c>
      <c r="C42" s="15" t="s">
        <v>374</v>
      </c>
      <c r="D42" s="40">
        <v>855</v>
      </c>
      <c r="E42" s="15">
        <v>18490.799999999996</v>
      </c>
      <c r="F42" s="15">
        <v>15437.880000000001</v>
      </c>
      <c r="G42" s="147"/>
    </row>
    <row r="43" spans="1:7" ht="14.25">
      <c r="A43" s="150" t="s">
        <v>419</v>
      </c>
      <c r="B43" s="150"/>
      <c r="C43" s="150"/>
      <c r="D43" s="18">
        <f>SUBTOTAL(9,D5:D42)</f>
        <v>12643</v>
      </c>
      <c r="E43" s="18">
        <f>SUBTOTAL(9,E5:E42)</f>
        <v>299653.60000000003</v>
      </c>
      <c r="F43" s="18">
        <f>SUBTOTAL(9,F5:F42)</f>
        <v>248778.48</v>
      </c>
      <c r="G43" s="148"/>
    </row>
  </sheetData>
  <autoFilter ref="A4:F42"/>
  <sortState ref="A5:J82">
    <sortCondition ref="B5:B82"/>
  </sortState>
  <mergeCells count="2">
    <mergeCell ref="A43:C43"/>
    <mergeCell ref="A2:G2"/>
  </mergeCells>
  <phoneticPr fontId="1" type="noConversion"/>
  <printOptions horizontalCentered="1"/>
  <pageMargins left="0.15748031496062992" right="0.15748031496062992" top="0.3937007874015748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商贸管理系</vt:lpstr>
      <vt:lpstr>检验科学系</vt:lpstr>
      <vt:lpstr>健康管理系</vt:lpstr>
      <vt:lpstr>班级汇总</vt:lpstr>
      <vt:lpstr>检验科学系!Print_Titles</vt:lpstr>
      <vt:lpstr>商贸管理系!Print_Titles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chenxl</dc:creator>
  <cp:lastModifiedBy>HP</cp:lastModifiedBy>
  <cp:lastPrinted>2015-10-27T00:31:49Z</cp:lastPrinted>
  <dcterms:created xsi:type="dcterms:W3CDTF">2014-08-04T09:14:17Z</dcterms:created>
  <dcterms:modified xsi:type="dcterms:W3CDTF">2015-10-27T06:15:34Z</dcterms:modified>
</cp:coreProperties>
</file>